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0" windowWidth="15600" windowHeight="7455"/>
  </bookViews>
  <sheets>
    <sheet name="Liquid Capital" sheetId="2" r:id="rId1"/>
    <sheet name="1.5 &amp; 3.8" sheetId="3" r:id="rId2"/>
    <sheet name="var_margin" sheetId="5" r:id="rId3"/>
    <sheet name="Sheet1"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Capital'!$A$1:$E$117</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I18" i="6" l="1"/>
  <c r="C81" i="2" l="1"/>
  <c r="I85" i="2"/>
  <c r="I84" i="2"/>
  <c r="H84" i="2"/>
  <c r="H83" i="2"/>
  <c r="I83" i="2"/>
  <c r="I81" i="2"/>
  <c r="D95" i="2" l="1"/>
  <c r="C59" i="2"/>
  <c r="C60" i="2"/>
  <c r="C55" i="2"/>
  <c r="C57" i="2"/>
  <c r="C45" i="2"/>
  <c r="C47" i="2"/>
  <c r="C46" i="2" s="1"/>
  <c r="I7" i="6"/>
  <c r="F18" i="6"/>
  <c r="E18" i="6"/>
  <c r="C49" i="2"/>
  <c r="C50" i="2"/>
  <c r="E42" i="2"/>
  <c r="C39" i="2"/>
  <c r="C36" i="2"/>
  <c r="C33" i="2"/>
  <c r="C7" i="2"/>
  <c r="I32" i="6" l="1"/>
  <c r="I21" i="6"/>
  <c r="I33" i="6"/>
  <c r="C78" i="2" l="1"/>
  <c r="D18" i="6"/>
  <c r="H18" i="6"/>
  <c r="G18" i="6"/>
  <c r="D46" i="2" s="1"/>
  <c r="I10" i="6"/>
  <c r="I9" i="6"/>
  <c r="C52" i="2" l="1"/>
  <c r="I20" i="6"/>
  <c r="I25" i="6" s="1"/>
  <c r="I27" i="6" s="1"/>
  <c r="I29" i="6" s="1"/>
  <c r="I34" i="6" s="1"/>
  <c r="I36" i="6" s="1"/>
  <c r="E40" i="2" l="1"/>
  <c r="E49" i="2"/>
  <c r="E50" i="2"/>
  <c r="C76" i="2" l="1"/>
  <c r="D20" i="2" l="1"/>
  <c r="E55" i="2" l="1"/>
  <c r="E46" i="2"/>
  <c r="E62" i="2" l="1"/>
  <c r="D70" i="2" l="1"/>
  <c r="D33" i="2" l="1"/>
  <c r="E20" i="2"/>
  <c r="E70" i="2"/>
  <c r="D43" i="2" l="1"/>
  <c r="E43" i="2" s="1"/>
  <c r="D81" i="2"/>
  <c r="E81" i="2" s="1"/>
  <c r="C28" i="2" l="1"/>
  <c r="E76" i="2" l="1"/>
  <c r="E67" i="2" l="1"/>
  <c r="F4" i="3" l="1"/>
  <c r="G4" i="3" s="1"/>
  <c r="B6" i="3"/>
  <c r="E66" i="2" l="1"/>
  <c r="E60" i="2"/>
  <c r="E65" i="2"/>
  <c r="E64" i="2"/>
  <c r="E63" i="2"/>
  <c r="E61" i="2"/>
  <c r="E59" i="2"/>
  <c r="E57" i="2"/>
  <c r="E31" i="2"/>
  <c r="E78" i="2" l="1"/>
  <c r="E47" i="2"/>
  <c r="E37" i="2"/>
  <c r="E28" i="2"/>
  <c r="E27" i="2"/>
  <c r="E24" i="2"/>
  <c r="E23" i="2"/>
  <c r="E22" i="2"/>
  <c r="E21" i="2"/>
  <c r="E18" i="2"/>
  <c r="E17" i="2"/>
  <c r="E16" i="2"/>
  <c r="E14" i="2"/>
  <c r="E13" i="2"/>
  <c r="E12" i="2"/>
  <c r="E8" i="2"/>
  <c r="E7" i="2"/>
  <c r="E101" i="2" l="1"/>
  <c r="E100" i="2"/>
  <c r="E98" i="2"/>
  <c r="E97" i="2"/>
  <c r="E93" i="2"/>
  <c r="E91" i="2"/>
  <c r="E90" i="2"/>
  <c r="E88" i="2"/>
  <c r="E86" i="2"/>
  <c r="E85" i="2"/>
  <c r="E83" i="2"/>
  <c r="E77" i="2"/>
  <c r="E74" i="2"/>
  <c r="E72" i="2"/>
  <c r="E73" i="2"/>
  <c r="E71" i="2"/>
  <c r="E56" i="2"/>
  <c r="E45" i="2"/>
  <c r="E44" i="2"/>
  <c r="E51" i="2"/>
  <c r="E36" i="2"/>
  <c r="E35" i="2"/>
  <c r="E34" i="2"/>
  <c r="E32" i="2"/>
  <c r="E30" i="2"/>
  <c r="E29" i="2" l="1"/>
  <c r="E52" i="2" s="1"/>
  <c r="E26" i="2"/>
  <c r="H4" i="3"/>
  <c r="H6" i="3" s="1"/>
  <c r="D4" i="3"/>
  <c r="E9" i="2"/>
  <c r="D6" i="3" l="1"/>
  <c r="I4" i="3" l="1"/>
  <c r="J4" i="3" s="1"/>
  <c r="J6" i="3" l="1"/>
  <c r="E95" i="2"/>
  <c r="C102" i="2" l="1"/>
  <c r="C103" i="2" s="1"/>
  <c r="E102" i="2" l="1"/>
  <c r="E103" i="2" s="1"/>
  <c r="D102" i="2"/>
</calcChain>
</file>

<file path=xl/sharedStrings.xml><?xml version="1.0" encoding="utf-8"?>
<sst xmlns="http://schemas.openxmlformats.org/spreadsheetml/2006/main" count="886" uniqueCount="882">
  <si>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</si>
  <si>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</si>
  <si>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</si>
  <si>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</si>
  <si>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</si>
  <si>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</si>
  <si>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</si>
  <si>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</si>
  <si>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</si>
  <si>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</si>
  <si>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</si>
  <si>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</si>
  <si>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</si>
  <si>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</si>
  <si>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</si>
  <si>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</si>
  <si>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</si>
  <si>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</si>
  <si>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</si>
  <si>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</si>
  <si>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</si>
  <si>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</si>
  <si>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</si>
  <si>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</si>
  <si>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</si>
  <si>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</si>
  <si>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</si>
  <si>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</si>
  <si>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</si>
  <si>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</si>
  <si>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</si>
  <si>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</si>
  <si>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</si>
  <si>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</si>
  <si>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</si>
  <si>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</si>
  <si>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</si>
  <si>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</si>
  <si>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</si>
  <si>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</si>
  <si>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</si>
  <si>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</si>
  <si>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</si>
  <si>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</si>
  <si>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</si>
  <si>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</si>
  <si>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</si>
  <si>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</si>
  <si>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</si>
  <si>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</si>
  <si>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</si>
  <si>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</si>
  <si>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</si>
  <si>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</si>
  <si>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</si>
  <si>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</si>
  <si>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</si>
  <si>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</si>
  <si>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</si>
  <si>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</si>
  <si>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</si>
  <si>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</si>
  <si>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</si>
  <si>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</si>
  <si>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</si>
  <si>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</si>
  <si>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</si>
  <si>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</si>
  <si>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</si>
  <si>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</si>
  <si>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</si>
  <si>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</si>
  <si>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</si>
  <si>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</si>
  <si>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</si>
  <si>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</si>
  <si>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</si>
  <si>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</si>
  <si>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</si>
  <si>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</si>
  <si>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</si>
  <si>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</si>
  <si>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</si>
  <si>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</si>
  <si>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</si>
  <si>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</si>
  <si>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</si>
  <si>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</si>
  <si>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</si>
  <si>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</si>
  <si>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</si>
  <si>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</si>
  <si>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</si>
  <si>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</si>
  <si>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</si>
  <si>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</si>
  <si>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</si>
  <si>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</si>
  <si>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</si>
  <si>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</si>
  <si>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</si>
  <si>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</si>
  <si>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</si>
  <si>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</si>
  <si>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</si>
  <si>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</si>
  <si>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</si>
  <si>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</si>
  <si>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</si>
  <si>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</si>
  <si>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</si>
  <si>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</si>
  <si>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</si>
  <si>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</si>
  <si>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</si>
  <si>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</si>
  <si>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</si>
  <si>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</si>
  <si>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</si>
  <si>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</si>
  <si>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</si>
  <si>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</si>
  <si>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</si>
  <si>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</si>
  <si>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</si>
  <si>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</si>
  <si>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</si>
  <si>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</si>
  <si>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</si>
  <si>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</si>
  <si>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</si>
  <si>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</si>
  <si>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</si>
  <si>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</si>
  <si>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</si>
  <si>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</si>
  <si>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</si>
  <si>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</si>
  <si>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</si>
  <si>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</si>
  <si>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</si>
  <si>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</si>
  <si>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</si>
  <si>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</si>
  <si>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</si>
  <si>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</si>
  <si>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</si>
  <si>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</si>
  <si>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</si>
  <si>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</si>
  <si>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</si>
  <si>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</si>
  <si>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</si>
  <si>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</si>
  <si>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</si>
  <si>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</si>
  <si>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</si>
  <si>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</si>
  <si>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</si>
  <si>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</si>
  <si>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</si>
  <si>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</si>
  <si>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</si>
  <si>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</si>
  <si>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</si>
  <si>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</si>
  <si>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</si>
  <si>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</si>
  <si>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</si>
  <si>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</si>
  <si>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</si>
  <si>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</si>
  <si>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</si>
  <si>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</si>
  <si>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</si>
  <si>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</si>
  <si>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</si>
  <si>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</si>
  <si>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</si>
  <si>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</si>
  <si>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</si>
  <si>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</si>
  <si>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</si>
  <si>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</si>
  <si>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</si>
  <si>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</si>
  <si>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</si>
  <si>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</si>
  <si>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</si>
  <si>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</si>
  <si>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</si>
  <si>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</si>
  <si>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</si>
  <si>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</si>
  <si>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</si>
  <si>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</si>
  <si>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</si>
  <si>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</si>
  <si>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</si>
  <si>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</si>
  <si>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</si>
  <si>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</si>
  <si>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</si>
  <si>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</si>
  <si>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</si>
  <si>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</si>
  <si>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</si>
  <si>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</si>
  <si>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</si>
  <si>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</si>
  <si>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</si>
  <si>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</si>
  <si>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</si>
  <si>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</si>
  <si>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</si>
  <si>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</si>
  <si>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</si>
  <si>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</si>
  <si>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</si>
  <si>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</si>
  <si>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</si>
  <si>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</si>
  <si>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</si>
  <si>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</si>
  <si>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</si>
  <si>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</si>
  <si>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</si>
  <si>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</si>
  <si>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</si>
  <si>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</si>
  <si>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</si>
  <si>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</si>
  <si>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</si>
  <si>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</si>
  <si>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</si>
  <si>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</si>
  <si>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</si>
  <si>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</si>
  <si>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</si>
  <si>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</si>
  <si>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</si>
  <si>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</si>
  <si>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</si>
  <si>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</si>
  <si>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</si>
  <si>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</si>
  <si>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</si>
  <si>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</si>
  <si>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</si>
  <si>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</si>
  <si>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</si>
  <si>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</si>
  <si>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</si>
  <si>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</si>
  <si>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</si>
  <si>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</si>
  <si>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</si>
  <si>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</si>
  <si>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</si>
  <si>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</si>
  <si>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</si>
  <si>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</si>
  <si>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</si>
  <si>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</si>
  <si>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</si>
  <si>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</si>
  <si>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</si>
  <si>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</si>
  <si>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</si>
  <si>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</si>
  <si>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</si>
  <si>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</si>
  <si>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</si>
  <si>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</si>
  <si>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</si>
  <si>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</si>
  <si>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</si>
  <si>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</si>
  <si>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</si>
  <si>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</si>
  <si>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</si>
  <si>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</si>
  <si>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</si>
  <si>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</si>
  <si>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</si>
  <si>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</si>
  <si>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</si>
  <si>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</si>
  <si>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</si>
  <si>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</si>
  <si>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</si>
  <si>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</si>
  <si>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</si>
  <si>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</si>
  <si>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</si>
  <si>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</si>
  <si>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</si>
  <si>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</si>
  <si>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</si>
  <si>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</si>
  <si>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</si>
  <si>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</si>
  <si>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</si>
  <si>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</si>
  <si>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</si>
  <si>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</si>
  <si>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</si>
  <si>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</si>
  <si>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</si>
  <si>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</si>
  <si>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</si>
  <si>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</si>
  <si>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</si>
  <si>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</si>
  <si>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</si>
  <si>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</si>
  <si>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</si>
  <si>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</si>
  <si>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</si>
  <si>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</si>
  <si>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</si>
  <si>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</si>
  <si>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</si>
  <si>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</si>
  <si>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</si>
  <si>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</si>
  <si>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</si>
  <si>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</si>
  <si>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</si>
  <si>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</si>
  <si>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</si>
  <si>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</si>
  <si>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</si>
  <si>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</si>
  <si>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</si>
  <si>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</si>
  <si>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</si>
  <si>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</si>
  <si>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</si>
  <si>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</si>
  <si>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</si>
  <si>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</si>
  <si>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</si>
  <si>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</si>
  <si>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</si>
  <si>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</si>
  <si>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</si>
  <si>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</si>
  <si>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</si>
  <si>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</si>
  <si>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</si>
  <si>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</si>
  <si>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</si>
  <si>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</si>
  <si>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</si>
  <si>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</si>
  <si>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</si>
  <si>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</si>
  <si>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</si>
  <si>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</si>
  <si>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</si>
  <si>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</si>
  <si>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</si>
  <si>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</si>
  <si>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</si>
  <si>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</si>
  <si>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</si>
  <si>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</si>
  <si>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</si>
  <si>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</si>
  <si>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</si>
  <si>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</si>
  <si>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</si>
  <si>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</si>
  <si>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</si>
  <si>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</si>
  <si>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</si>
  <si>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</si>
  <si>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</si>
  <si>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</si>
  <si>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</si>
  <si>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</si>
  <si>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</si>
  <si>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</si>
  <si>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</si>
  <si>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</si>
  <si>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</si>
  <si>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</si>
  <si>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</si>
  <si>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</si>
  <si>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</si>
  <si>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</si>
  <si>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</si>
  <si>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</si>
  <si>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</si>
  <si>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</si>
  <si>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</si>
  <si>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</si>
  <si>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</si>
  <si>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</si>
  <si>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</si>
  <si>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</si>
  <si>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</si>
  <si>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</si>
  <si>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</si>
  <si>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</si>
  <si>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</si>
  <si>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</si>
  <si>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</si>
  <si>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</si>
  <si>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</si>
  <si>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</si>
  <si>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</si>
  <si>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</si>
  <si>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</si>
  <si>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</si>
  <si>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</si>
  <si>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</si>
  <si>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</si>
  <si>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</si>
  <si>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</si>
  <si>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</si>
  <si>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</si>
  <si>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</si>
  <si>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</si>
  <si>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</si>
  <si>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</si>
  <si>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</si>
  <si>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</si>
  <si>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</si>
  <si>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</si>
  <si>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</si>
  <si>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</si>
  <si>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</si>
  <si>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</si>
  <si>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</si>
  <si>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</si>
  <si>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</si>
  <si>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</si>
  <si>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</si>
  <si>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</si>
  <si>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</si>
  <si>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</si>
  <si>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</si>
  <si>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</si>
  <si>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</si>
  <si>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</si>
  <si>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</si>
  <si>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</si>
  <si>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</si>
  <si>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</si>
  <si>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</si>
  <si>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</si>
  <si>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</si>
  <si>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</si>
  <si>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</si>
  <si>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</si>
  <si>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</si>
  <si>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</si>
  <si>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</si>
  <si>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</si>
  <si>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</si>
  <si>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</si>
  <si>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</si>
  <si>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</si>
  <si>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</si>
  <si>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</si>
  <si>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</si>
  <si>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</si>
  <si>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</si>
  <si>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</si>
  <si>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</si>
  <si>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</si>
  <si>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</si>
  <si>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</si>
  <si>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</si>
  <si>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</si>
  <si>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</si>
  <si>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</si>
  <si>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</si>
  <si>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</si>
  <si>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</si>
  <si>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</si>
  <si>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</si>
  <si>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</si>
  <si>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</si>
  <si>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</si>
  <si>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</si>
  <si>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</si>
  <si>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</si>
  <si>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</si>
  <si>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</si>
  <si>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</si>
  <si>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</si>
  <si>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</si>
  <si>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</si>
  <si>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</si>
  <si>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</si>
  <si>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</si>
  <si>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</si>
  <si>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</si>
  <si>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</si>
  <si>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</si>
  <si>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</si>
  <si>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</si>
  <si>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</si>
  <si>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</si>
  <si>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</si>
  <si>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</si>
  <si>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</si>
  <si>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</si>
  <si>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</si>
  <si>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</si>
  <si>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</si>
  <si>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</si>
  <si>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</si>
  <si>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</si>
  <si>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</si>
  <si>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</si>
  <si>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</si>
  <si>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</si>
  <si>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</si>
  <si>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</si>
  <si>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</si>
  <si>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</si>
  <si>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</si>
  <si>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</si>
  <si>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</si>
  <si>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</si>
  <si>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</si>
  <si>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</si>
  <si>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</si>
  <si>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</si>
  <si>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</si>
  <si>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</si>
  <si>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</si>
  <si>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</si>
  <si>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</si>
  <si>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</si>
  <si>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</si>
  <si>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</si>
  <si>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</si>
  <si>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</si>
  <si>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</si>
  <si>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</si>
  <si>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</si>
  <si>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</si>
  <si>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</si>
  <si>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</si>
  <si>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</si>
  <si>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</si>
  <si>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</si>
  <si>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</si>
  <si>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</si>
  <si>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</si>
  <si>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</si>
  <si>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</si>
  <si>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</si>
  <si>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</si>
  <si>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</si>
  <si>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</si>
  <si>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</si>
  <si>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</si>
  <si>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</si>
  <si>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</si>
  <si>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</si>
  <si>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</si>
  <si>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</si>
  <si>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</si>
  <si>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</si>
  <si>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</si>
  <si>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</si>
  <si>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</si>
  <si>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</si>
  <si>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</si>
  <si>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</si>
  <si>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</si>
  <si>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</si>
  <si>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</si>
  <si>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</si>
  <si>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</si>
  <si>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</si>
  <si>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</si>
  <si>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</si>
  <si>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</si>
  <si>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</si>
  <si>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</si>
  <si>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</si>
  <si>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</si>
  <si>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</si>
  <si>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</si>
  <si>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</si>
  <si>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</si>
  <si>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</si>
  <si>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</si>
  <si>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</si>
  <si>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</si>
  <si>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</si>
  <si>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</si>
  <si>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</si>
  <si>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</si>
  <si>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</si>
  <si>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</si>
  <si>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</si>
  <si>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</si>
  <si>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</si>
  <si>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</si>
  <si>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</si>
  <si>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</si>
  <si>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</si>
  <si>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</si>
  <si>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</si>
  <si>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</si>
  <si>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</si>
  <si>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</si>
  <si>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</si>
  <si>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</si>
  <si>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</si>
  <si>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</si>
  <si>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</si>
  <si>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</si>
  <si>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</si>
  <si>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</si>
  <si>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</si>
  <si>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</si>
  <si>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</si>
  <si>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</si>
  <si>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</si>
  <si>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</si>
  <si>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</si>
  <si>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</si>
  <si>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</si>
  <si>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</si>
  <si>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</si>
  <si>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</si>
  <si>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</si>
  <si>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</si>
  <si>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</si>
  <si>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</si>
  <si>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</si>
  <si>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</si>
  <si>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</si>
  <si>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</si>
  <si>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</si>
  <si>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</si>
  <si>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</si>
  <si>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</si>
  <si>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</si>
  <si>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</si>
  <si>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</si>
  <si>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</si>
  <si>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</si>
  <si>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</si>
  <si>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</si>
  <si>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</si>
  <si>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</si>
  <si>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</si>
  <si>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</si>
  <si>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</si>
  <si>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</si>
  <si>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</si>
  <si>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</si>
  <si>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</si>
  <si>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</si>
  <si>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</si>
  <si>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</si>
  <si>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</si>
  <si>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</si>
  <si>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</si>
  <si>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</si>
  <si>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</si>
  <si>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</si>
  <si>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</si>
  <si>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</si>
  <si>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</si>
  <si>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</si>
  <si>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</si>
  <si>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</si>
  <si>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</si>
  <si>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</si>
  <si>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</si>
  <si>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</si>
  <si>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</si>
  <si>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</si>
  <si>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</si>
  <si>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</si>
  <si>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</si>
  <si>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</si>
  <si>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</si>
  <si>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</si>
  <si>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</si>
  <si>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</si>
  <si>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</si>
  <si>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</si>
  <si>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</si>
  <si>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</si>
  <si>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</si>
  <si>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</si>
  <si>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</si>
  <si>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</si>
  <si>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</si>
  <si>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</si>
  <si>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</si>
  <si>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</si>
  <si>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</si>
  <si>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</si>
  <si>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</si>
  <si>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</si>
  <si>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</si>
  <si>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</si>
  <si>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</si>
  <si>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</si>
  <si>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</si>
  <si>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</si>
  <si>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</si>
  <si>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</si>
  <si>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</si>
  <si>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</si>
  <si>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</si>
  <si>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</si>
  <si>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</si>
  <si>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</si>
  <si>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</si>
  <si>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</si>
  <si>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</si>
  <si>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</si>
  <si>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</si>
  <si>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</si>
  <si>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</si>
  <si>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</si>
  <si>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</si>
  <si>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</si>
  <si>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</si>
  <si>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</si>
  <si>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</si>
  <si>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</si>
  <si>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</si>
  <si>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</si>
  <si>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</si>
  <si>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</si>
  <si>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</si>
  <si>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</si>
  <si>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</si>
  <si>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</si>
  <si>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</si>
  <si>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</si>
  <si>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</si>
  <si>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</si>
  <si>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</si>
  <si>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</si>
  <si>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</si>
  <si>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</si>
  <si>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</si>
  <si>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</si>
  <si>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</si>
  <si>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</si>
  <si>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</si>
  <si>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</si>
  <si>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</si>
  <si>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</si>
  <si>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</si>
  <si>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</si>
  <si>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</si>
  <si>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</si>
  <si>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</si>
  <si>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</si>
  <si>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</si>
  <si>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</si>
  <si>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</si>
  <si>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</si>
  <si>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</si>
  <si>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</si>
  <si>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</si>
  <si>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</si>
  <si>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</si>
  <si>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</si>
  <si>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</si>
  <si>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</si>
  <si>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</si>
  <si>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</si>
  <si>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</si>
  <si>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</si>
  <si>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</si>
  <si>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</si>
  <si>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</si>
  <si>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</si>
  <si>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</si>
  <si>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</si>
  <si>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</si>
  <si>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</si>
  <si>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</si>
  <si>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</si>
  <si>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</si>
  <si>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</si>
  <si>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</si>
  <si>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</si>
  <si>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</si>
  <si>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</si>
  <si>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</si>
  <si>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</si>
  <si>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</si>
  <si>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</si>
  <si>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</si>
  <si>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</si>
  <si>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</si>
  <si>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</si>
  <si>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</si>
  <si>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</si>
  <si>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</si>
  <si>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</si>
  <si>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</si>
  <si>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</si>
  <si>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</si>
  <si>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</si>
  <si>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</si>
  <si>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</si>
  <si>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</si>
  <si>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</si>
  <si>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</si>
  <si>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</si>
  <si>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</si>
  <si>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</si>
  <si>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</si>
  <si>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</si>
  <si>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</si>
  <si>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</si>
  <si>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</si>
  <si>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</si>
  <si>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</si>
  <si>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</si>
  <si>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</si>
  <si>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</si>
  <si>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</si>
  <si>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</si>
  <si>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</si>
  <si>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</si>
  <si>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</si>
  <si>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</si>
  <si>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</si>
  <si>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</si>
  <si>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</si>
  <si>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</si>
  <si>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</si>
  <si>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</si>
  <si>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</si>
  <si>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</si>
  <si>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</si>
  <si>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</si>
  <si>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</si>
  <si>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</si>
  <si>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</si>
  <si>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</si>
  <si>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</si>
  <si>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</si>
  <si>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</si>
  <si>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</si>
  <si>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</si>
  <si>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</si>
  <si>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</si>
  <si>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</si>
  <si>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</si>
  <si>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</si>
  <si>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</si>
  <si>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</si>
  <si>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</si>
  <si>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</si>
  <si>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</si>
  <si>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</si>
  <si>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</si>
  <si>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</si>
  <si>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</si>
  <si>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</si>
  <si>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</si>
  <si>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</si>
  <si>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As on 31.10.2020</t>
  </si>
  <si>
    <t>As on November 30, 2020</t>
  </si>
  <si>
    <t xml:space="preserve">Investment in Govt. Securities </t>
  </si>
  <si>
    <t>A/R</t>
  </si>
  <si>
    <t>less than 5</t>
  </si>
  <si>
    <t>var value</t>
  </si>
  <si>
    <t>market value</t>
  </si>
  <si>
    <t>more than 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</si>
</sst>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11"/>
      <color theme="0" tint="-0.34998626667073579"/>
      <name val="Calibri"/>
      <family val="2"/>
      <scheme val="minor"/>
    </font>
    <font>
      <b/>
      <sz val="9"/>
      <color theme="0" tint="-0.34998626667073579"/>
      <name val="Arial"/>
      <family val="2"/>
    </font>
    <font>
      <sz val="9"/>
      <color theme="0"/>
      <name val="Arial"/>
      <family val="2"/>
    </font>
    <font>
      <sz val="9"/>
      <color theme="0" tint="-0.249977111117893"/>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75">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2" xfId="0" applyFont="1" applyBorder="1" applyAlignment="1">
      <alignment horizontal="center" vertical="center"/>
    </xf>
    <xf numFmtId="0" fontId="11" fillId="0" borderId="1" xfId="0" applyFont="1" applyFill="1" applyBorder="1" applyAlignment="1">
      <alignment horizontal="left" vertical="center" wrapText="1"/>
    </xf>
    <xf numFmtId="10" fontId="11" fillId="0" borderId="1" xfId="0" applyNumberFormat="1" applyFont="1" applyBorder="1" applyAlignment="1">
      <alignment vertical="center"/>
    </xf>
    <xf numFmtId="0" fontId="15" fillId="0" borderId="1" xfId="0" applyFont="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left" vertical="center" wrapText="1"/>
    </xf>
    <xf numFmtId="0" fontId="15" fillId="0" borderId="1" xfId="0" applyFont="1" applyBorder="1" applyAlignment="1">
      <alignment horizontal="left" vertical="center"/>
    </xf>
    <xf numFmtId="164" fontId="11" fillId="0" borderId="1" xfId="1" applyNumberFormat="1" applyFont="1" applyBorder="1" applyAlignment="1">
      <alignment horizontal="center" vertical="center"/>
    </xf>
    <xf numFmtId="0" fontId="14" fillId="0" borderId="1" xfId="0" applyFont="1" applyBorder="1" applyAlignment="1">
      <alignment vertical="center" wrapText="1"/>
    </xf>
    <xf numFmtId="164" fontId="11" fillId="0" borderId="1" xfId="1" applyNumberFormat="1" applyFont="1" applyBorder="1" applyAlignment="1">
      <alignment horizontal="center" vertical="center" wrapText="1"/>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 fontId="11" fillId="0" borderId="1" xfId="0" applyNumberFormat="1" applyFont="1" applyBorder="1" applyAlignment="1">
      <alignment horizontal="center" vertical="center"/>
    </xf>
    <xf numFmtId="164" fontId="11" fillId="0" borderId="1" xfId="1" applyNumberFormat="1" applyFont="1" applyBorder="1" applyAlignment="1">
      <alignment vertical="center" wrapText="1"/>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9" fontId="11" fillId="0" borderId="1" xfId="2" applyFont="1" applyBorder="1" applyAlignment="1">
      <alignment vertical="center"/>
    </xf>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43" fontId="19" fillId="0" borderId="0" xfId="1" applyFont="1"/>
    <xf numFmtId="0" fontId="19" fillId="0" borderId="0" xfId="0" applyFont="1"/>
    <xf numFmtId="164" fontId="11" fillId="0" borderId="0" xfId="1" applyNumberFormat="1" applyFont="1"/>
    <xf numFmtId="0" fontId="19" fillId="0" borderId="0" xfId="0" applyFont="1" applyFill="1"/>
    <xf numFmtId="3" fontId="20" fillId="0" borderId="0" xfId="0" applyNumberFormat="1" applyFont="1"/>
    <xf numFmtId="0" fontId="20" fillId="0" borderId="0" xfId="0" applyFont="1"/>
    <xf numFmtId="43" fontId="20" fillId="0" borderId="0" xfId="1" applyFont="1"/>
    <xf numFmtId="0" fontId="21" fillId="3" borderId="5" xfId="0" applyFont="1" applyFill="1" applyBorder="1" applyAlignment="1">
      <alignment horizontal="left" vertical="center"/>
    </xf>
    <xf numFmtId="0" fontId="22" fillId="0" borderId="0" xfId="0" applyFont="1"/>
    <xf numFmtId="0" fontId="22" fillId="0" borderId="0" xfId="0" applyFont="1" applyFill="1"/>
    <xf numFmtId="43" fontId="0" fillId="0" borderId="0" xfId="1" applyFont="1"/>
    <xf numFmtId="164" fontId="0" fillId="0" borderId="0" xfId="1" applyNumberFormat="1" applyFont="1"/>
    <xf numFmtId="0" fontId="23" fillId="4" borderId="0" xfId="0" applyFont="1" applyFill="1"/>
    <xf numFmtId="43" fontId="23" fillId="4" borderId="0" xfId="0" applyNumberFormat="1" applyFont="1" applyFill="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64" fontId="0" fillId="0" borderId="17" xfId="1" applyNumberFormat="1" applyFont="1" applyBorder="1"/>
    <xf numFmtId="43" fontId="0" fillId="0" borderId="18" xfId="1" applyFont="1" applyBorder="1"/>
    <xf numFmtId="43" fontId="0" fillId="0" borderId="19" xfId="1" applyFont="1" applyBorder="1"/>
    <xf numFmtId="0" fontId="19" fillId="4" borderId="0" xfId="0" applyFont="1" applyFill="1"/>
    <xf numFmtId="164" fontId="19" fillId="4" borderId="0" xfId="0" applyNumberFormat="1" applyFont="1" applyFill="1"/>
    <xf numFmtId="3" fontId="19" fillId="4" borderId="0" xfId="0" applyNumberFormat="1" applyFont="1" applyFill="1"/>
    <xf numFmtId="0" fontId="20" fillId="4" borderId="0" xfId="0" applyFont="1" applyFill="1"/>
    <xf numFmtId="0" fontId="19" fillId="4" borderId="0" xfId="0" applyFont="1" applyFill="1" applyBorder="1"/>
    <xf numFmtId="164" fontId="19" fillId="4" borderId="0" xfId="1" applyNumberFormat="1" applyFont="1" applyFill="1" applyBorder="1" applyAlignment="1">
      <alignment vertical="center"/>
    </xf>
    <xf numFmtId="3" fontId="20" fillId="4" borderId="0" xfId="0" applyNumberFormat="1" applyFont="1" applyFill="1"/>
    <xf numFmtId="4" fontId="19" fillId="4" borderId="0" xfId="0" applyNumberFormat="1" applyFont="1" applyFill="1"/>
    <xf numFmtId="43" fontId="19" fillId="4" borderId="0" xfId="1" applyFont="1" applyFill="1"/>
    <xf numFmtId="43" fontId="19" fillId="4" borderId="0" xfId="0" applyNumberFormat="1" applyFont="1" applyFill="1"/>
    <xf numFmtId="167" fontId="19" fillId="4" borderId="0" xfId="0" applyNumberFormat="1" applyFont="1" applyFill="1"/>
    <xf numFmtId="4" fontId="20" fillId="4" borderId="0" xfId="0" applyNumberFormat="1" applyFont="1" applyFill="1"/>
    <xf numFmtId="43" fontId="20" fillId="4" borderId="0" xfId="0" applyNumberFormat="1" applyFont="1" applyFill="1"/>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3" borderId="5" xfId="0" applyFont="1" applyFill="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3" borderId="5"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showGridLines="0" tabSelected="1" view="pageBreakPreview" topLeftCell="A56" zoomScaleSheetLayoutView="100" workbookViewId="0">
      <selection activeCell="G104" sqref="G104"/>
    </sheetView>
  </sheetViews>
  <sheetFormatPr defaultRowHeight="12" x14ac:dyDescent="0.2"/>
  <cols>
    <col min="1" max="1" width="6.140625" style="6" customWidth="1"/>
    <col min="2" max="2" width="71.140625" style="6" customWidth="1"/>
    <col min="3" max="3" width="12" style="7" bestFit="1" customWidth="1"/>
    <col min="4" max="4" width="13.140625" style="8" bestFit="1" customWidth="1"/>
    <col min="5" max="5" width="12.28515625" style="7" bestFit="1" customWidth="1"/>
    <col min="6" max="6" width="13.28515625" style="111" bestFit="1" customWidth="1"/>
    <col min="7" max="9" width="13.5703125" style="137" bestFit="1" customWidth="1"/>
    <col min="10" max="10" width="14.140625" style="122" bestFit="1" customWidth="1"/>
    <col min="11" max="12" width="9.140625" style="111"/>
    <col min="13" max="23" width="9.140625" style="118"/>
    <col min="24" max="16384" width="9.140625" style="6"/>
  </cols>
  <sheetData>
    <row r="1" spans="1:5" ht="15" x14ac:dyDescent="0.25">
      <c r="A1" s="34" t="s">
        <v>864</v>
      </c>
    </row>
    <row r="2" spans="1:5" ht="15" x14ac:dyDescent="0.25">
      <c r="A2" s="34" t="s">
        <v>83</v>
      </c>
    </row>
    <row r="3" spans="1:5" ht="15" x14ac:dyDescent="0.25">
      <c r="A3" s="34" t="s">
        <v>875</v>
      </c>
    </row>
    <row r="5" spans="1:5" ht="24" x14ac:dyDescent="0.2">
      <c r="A5" s="9" t="s">
        <v>62</v>
      </c>
      <c r="B5" s="9" t="s">
        <v>0</v>
      </c>
      <c r="C5" s="10" t="s">
        <v>63</v>
      </c>
      <c r="D5" s="11" t="s">
        <v>65</v>
      </c>
      <c r="E5" s="10" t="s">
        <v>64</v>
      </c>
    </row>
    <row r="6" spans="1:5" x14ac:dyDescent="0.2">
      <c r="A6" s="168" t="s">
        <v>1</v>
      </c>
      <c r="B6" s="168"/>
      <c r="C6" s="168"/>
      <c r="D6" s="168"/>
      <c r="E6" s="168"/>
    </row>
    <row r="7" spans="1:5" x14ac:dyDescent="0.2">
      <c r="A7" s="12">
        <v>1.1000000000000001</v>
      </c>
      <c r="B7" s="13" t="s">
        <v>2</v>
      </c>
      <c r="C7" s="108">
        <f>1060438-584011+2051637-859736+559722-393445+1517869-1045363+235125-63248</f>
        <v>2478988</v>
      </c>
      <c r="D7" s="1">
        <v>1</v>
      </c>
      <c r="E7" s="2">
        <f>C7-(C7*D7)</f>
        <v>0</v>
      </c>
    </row>
    <row r="8" spans="1:5" x14ac:dyDescent="0.2">
      <c r="A8" s="109" t="s">
        <v>872</v>
      </c>
      <c r="B8" s="15" t="s">
        <v>3</v>
      </c>
      <c r="C8" s="16">
        <v>4100000</v>
      </c>
      <c r="D8" s="1">
        <v>1</v>
      </c>
      <c r="E8" s="2">
        <f>C8-(C8*D8)</f>
        <v>0</v>
      </c>
    </row>
    <row r="9" spans="1:5" x14ac:dyDescent="0.2">
      <c r="A9" s="14">
        <v>1.3</v>
      </c>
      <c r="B9" s="15" t="s">
        <v>876</v>
      </c>
      <c r="C9" s="16">
        <v>0</v>
      </c>
      <c r="D9" s="17">
        <v>0</v>
      </c>
      <c r="E9" s="16">
        <f>C9-D9</f>
        <v>0</v>
      </c>
    </row>
    <row r="10" spans="1:5" x14ac:dyDescent="0.2">
      <c r="A10" s="152">
        <v>1.4</v>
      </c>
      <c r="B10" s="18" t="s">
        <v>60</v>
      </c>
      <c r="C10" s="16"/>
      <c r="D10" s="17"/>
      <c r="E10" s="4"/>
    </row>
    <row r="11" spans="1:5" x14ac:dyDescent="0.2">
      <c r="A11" s="152"/>
      <c r="B11" s="19" t="s">
        <v>4</v>
      </c>
      <c r="C11" s="16"/>
      <c r="D11" s="17"/>
      <c r="E11" s="4"/>
    </row>
    <row r="12" spans="1:5" x14ac:dyDescent="0.2">
      <c r="A12" s="152"/>
      <c r="B12" s="20" t="s">
        <v>5</v>
      </c>
      <c r="C12" s="16">
        <v>0</v>
      </c>
      <c r="D12" s="3">
        <v>0.05</v>
      </c>
      <c r="E12" s="4">
        <f>C12-(C12*D12)</f>
        <v>0</v>
      </c>
    </row>
    <row r="13" spans="1:5" x14ac:dyDescent="0.2">
      <c r="A13" s="152"/>
      <c r="B13" s="20" t="s">
        <v>6</v>
      </c>
      <c r="C13" s="16">
        <v>0</v>
      </c>
      <c r="D13" s="3">
        <v>7.4999999999999997E-2</v>
      </c>
      <c r="E13" s="4">
        <f>C13-(C13*D13)</f>
        <v>0</v>
      </c>
    </row>
    <row r="14" spans="1:5" x14ac:dyDescent="0.2">
      <c r="A14" s="152"/>
      <c r="B14" s="20" t="s">
        <v>7</v>
      </c>
      <c r="C14" s="16">
        <v>0</v>
      </c>
      <c r="D14" s="3">
        <v>0.1</v>
      </c>
      <c r="E14" s="4">
        <f>C14-(C14*D14)</f>
        <v>0</v>
      </c>
    </row>
    <row r="15" spans="1:5" x14ac:dyDescent="0.2">
      <c r="A15" s="152"/>
      <c r="B15" s="19" t="s">
        <v>8</v>
      </c>
      <c r="C15" s="16"/>
      <c r="D15" s="17"/>
      <c r="E15" s="4"/>
    </row>
    <row r="16" spans="1:5" x14ac:dyDescent="0.2">
      <c r="A16" s="152"/>
      <c r="B16" s="20" t="s">
        <v>9</v>
      </c>
      <c r="C16" s="16">
        <v>0</v>
      </c>
      <c r="D16" s="3">
        <v>0.1</v>
      </c>
      <c r="E16" s="4">
        <f>C16-(C16*D16)</f>
        <v>0</v>
      </c>
    </row>
    <row r="17" spans="1:23" x14ac:dyDescent="0.2">
      <c r="A17" s="152"/>
      <c r="B17" s="20" t="s">
        <v>10</v>
      </c>
      <c r="C17" s="16">
        <v>0</v>
      </c>
      <c r="D17" s="3">
        <v>0.125</v>
      </c>
      <c r="E17" s="4">
        <f>C17-(C17*D17)</f>
        <v>0</v>
      </c>
    </row>
    <row r="18" spans="1:23" x14ac:dyDescent="0.2">
      <c r="A18" s="152"/>
      <c r="B18" s="20" t="s">
        <v>11</v>
      </c>
      <c r="C18" s="21">
        <v>0</v>
      </c>
      <c r="D18" s="3">
        <v>0.15</v>
      </c>
      <c r="E18" s="4">
        <f>C18-(C18*D18)</f>
        <v>0</v>
      </c>
      <c r="G18" s="138"/>
    </row>
    <row r="19" spans="1:23" x14ac:dyDescent="0.2">
      <c r="A19" s="153">
        <v>1.5</v>
      </c>
      <c r="B19" s="18" t="s">
        <v>61</v>
      </c>
      <c r="C19" s="4"/>
      <c r="D19" s="22"/>
      <c r="E19" s="4"/>
    </row>
    <row r="20" spans="1:23" ht="24" x14ac:dyDescent="0.2">
      <c r="A20" s="154"/>
      <c r="B20" s="23" t="s">
        <v>12</v>
      </c>
      <c r="C20" s="105">
        <v>196945</v>
      </c>
      <c r="D20" s="17">
        <f>C20*0.15</f>
        <v>29541.75</v>
      </c>
      <c r="E20" s="17">
        <f>C20-D20</f>
        <v>167403.25</v>
      </c>
    </row>
    <row r="21" spans="1:23" x14ac:dyDescent="0.2">
      <c r="A21" s="154"/>
      <c r="B21" s="20" t="s">
        <v>13</v>
      </c>
      <c r="C21" s="68">
        <v>7842216</v>
      </c>
      <c r="D21" s="3">
        <v>1</v>
      </c>
      <c r="E21" s="4">
        <f>C21-(C21*D21)</f>
        <v>0</v>
      </c>
    </row>
    <row r="22" spans="1:23" ht="36" x14ac:dyDescent="0.2">
      <c r="A22" s="154"/>
      <c r="B22" s="24" t="s">
        <v>96</v>
      </c>
      <c r="C22" s="105">
        <v>0</v>
      </c>
      <c r="D22" s="4">
        <v>0</v>
      </c>
      <c r="E22" s="4">
        <f>C22-(C22*D22)</f>
        <v>0</v>
      </c>
      <c r="G22" s="138"/>
    </row>
    <row r="23" spans="1:23" s="26" customFormat="1" ht="96.75" customHeight="1" x14ac:dyDescent="0.2">
      <c r="A23" s="155"/>
      <c r="B23" s="25" t="s">
        <v>82</v>
      </c>
      <c r="C23" s="4">
        <v>0</v>
      </c>
      <c r="D23" s="3">
        <v>1</v>
      </c>
      <c r="E23" s="4">
        <f>C23-(C23*D23)</f>
        <v>0</v>
      </c>
      <c r="F23" s="113"/>
      <c r="G23" s="137"/>
      <c r="H23" s="137"/>
      <c r="I23" s="137"/>
      <c r="J23" s="122"/>
      <c r="K23" s="113"/>
      <c r="L23" s="113"/>
      <c r="M23" s="119"/>
      <c r="N23" s="119"/>
      <c r="O23" s="119"/>
      <c r="P23" s="119"/>
      <c r="Q23" s="119"/>
      <c r="R23" s="119"/>
      <c r="S23" s="119"/>
      <c r="T23" s="119"/>
      <c r="U23" s="119"/>
      <c r="V23" s="119"/>
      <c r="W23" s="119"/>
    </row>
    <row r="24" spans="1:23" x14ac:dyDescent="0.2">
      <c r="A24" s="14">
        <v>1.6</v>
      </c>
      <c r="B24" s="15" t="s">
        <v>14</v>
      </c>
      <c r="C24" s="4">
        <v>0</v>
      </c>
      <c r="D24" s="3">
        <v>1</v>
      </c>
      <c r="E24" s="4">
        <f>C24-(C24*D24)</f>
        <v>0</v>
      </c>
    </row>
    <row r="25" spans="1:23" x14ac:dyDescent="0.2">
      <c r="A25" s="153">
        <v>1.7</v>
      </c>
      <c r="B25" s="18" t="s">
        <v>15</v>
      </c>
      <c r="C25" s="4"/>
      <c r="D25" s="27"/>
      <c r="E25" s="4"/>
    </row>
    <row r="26" spans="1:23" ht="24" x14ac:dyDescent="0.2">
      <c r="A26" s="154"/>
      <c r="B26" s="23" t="s">
        <v>866</v>
      </c>
      <c r="C26" s="4">
        <v>0</v>
      </c>
      <c r="D26" s="16">
        <v>0</v>
      </c>
      <c r="E26" s="16">
        <f t="shared" ref="E26:E36" si="0">C26-D26</f>
        <v>0</v>
      </c>
    </row>
    <row r="27" spans="1:23" x14ac:dyDescent="0.2">
      <c r="A27" s="155"/>
      <c r="B27" s="20" t="s">
        <v>16</v>
      </c>
      <c r="C27" s="4">
        <v>0</v>
      </c>
      <c r="D27" s="3">
        <v>1</v>
      </c>
      <c r="E27" s="4">
        <f>C27-(C27*D27)</f>
        <v>0</v>
      </c>
    </row>
    <row r="28" spans="1:23" ht="24" x14ac:dyDescent="0.2">
      <c r="A28" s="14">
        <v>1.8</v>
      </c>
      <c r="B28" s="28" t="s">
        <v>71</v>
      </c>
      <c r="C28" s="16">
        <f>1650000-120000</f>
        <v>1530000</v>
      </c>
      <c r="D28" s="3">
        <v>1</v>
      </c>
      <c r="E28" s="4">
        <f>C28-(C28*D28)</f>
        <v>0</v>
      </c>
    </row>
    <row r="29" spans="1:23" s="26" customFormat="1" x14ac:dyDescent="0.2">
      <c r="A29" s="36">
        <v>1.9</v>
      </c>
      <c r="B29" s="37" t="s">
        <v>72</v>
      </c>
      <c r="C29" s="17">
        <v>35439498</v>
      </c>
      <c r="D29" s="17">
        <v>0</v>
      </c>
      <c r="E29" s="17">
        <f t="shared" si="0"/>
        <v>35439498</v>
      </c>
      <c r="F29" s="113"/>
      <c r="G29" s="137"/>
      <c r="H29" s="138"/>
      <c r="I29" s="137"/>
      <c r="J29" s="122"/>
      <c r="K29" s="113"/>
      <c r="L29" s="113"/>
      <c r="M29" s="119"/>
      <c r="N29" s="119"/>
      <c r="O29" s="119"/>
      <c r="P29" s="119"/>
      <c r="Q29" s="119"/>
      <c r="R29" s="119"/>
      <c r="S29" s="119"/>
      <c r="T29" s="119"/>
      <c r="U29" s="119"/>
      <c r="V29" s="119"/>
      <c r="W29" s="119"/>
    </row>
    <row r="30" spans="1:23" x14ac:dyDescent="0.2">
      <c r="A30" s="29">
        <v>1.1000000000000001</v>
      </c>
      <c r="B30" s="28" t="s">
        <v>73</v>
      </c>
      <c r="C30" s="16">
        <v>0</v>
      </c>
      <c r="D30" s="17">
        <v>0</v>
      </c>
      <c r="E30" s="16">
        <f t="shared" si="0"/>
        <v>0</v>
      </c>
    </row>
    <row r="31" spans="1:23" s="74" customFormat="1" ht="15" x14ac:dyDescent="0.25">
      <c r="A31" s="69">
        <v>1.1100000000000001</v>
      </c>
      <c r="B31" s="70" t="s">
        <v>17</v>
      </c>
      <c r="C31" s="71">
        <v>0</v>
      </c>
      <c r="D31" s="72">
        <v>1</v>
      </c>
      <c r="E31" s="73">
        <f>C31-(C31*D31)</f>
        <v>0</v>
      </c>
      <c r="F31" s="114"/>
      <c r="G31" s="137"/>
      <c r="H31" s="137"/>
      <c r="I31" s="137"/>
      <c r="J31" s="122"/>
      <c r="K31" s="111"/>
      <c r="L31" s="111"/>
      <c r="M31" s="118"/>
      <c r="N31" s="118"/>
      <c r="O31" s="118"/>
      <c r="P31" s="118"/>
      <c r="Q31" s="118"/>
      <c r="R31" s="118"/>
      <c r="S31" s="118"/>
      <c r="T31" s="118"/>
      <c r="U31" s="118"/>
      <c r="V31" s="118"/>
      <c r="W31" s="118"/>
    </row>
    <row r="32" spans="1:23" s="74" customFormat="1" ht="24" x14ac:dyDescent="0.25">
      <c r="A32" s="157">
        <v>1.1200000000000001</v>
      </c>
      <c r="B32" s="75" t="s">
        <v>66</v>
      </c>
      <c r="C32" s="68">
        <v>0</v>
      </c>
      <c r="D32" s="71">
        <v>0</v>
      </c>
      <c r="E32" s="76">
        <f t="shared" si="0"/>
        <v>0</v>
      </c>
      <c r="F32" s="115"/>
      <c r="G32" s="137"/>
      <c r="H32" s="137"/>
      <c r="I32" s="137"/>
      <c r="J32" s="122"/>
      <c r="K32" s="111"/>
      <c r="L32" s="111"/>
      <c r="M32" s="118"/>
      <c r="N32" s="118"/>
      <c r="O32" s="118"/>
      <c r="P32" s="118"/>
      <c r="Q32" s="118"/>
      <c r="R32" s="118"/>
      <c r="S32" s="118"/>
      <c r="T32" s="118"/>
      <c r="U32" s="118"/>
      <c r="V32" s="118"/>
      <c r="W32" s="118"/>
    </row>
    <row r="33" spans="1:23" s="74" customFormat="1" ht="24" x14ac:dyDescent="0.25">
      <c r="A33" s="158"/>
      <c r="B33" s="95" t="s">
        <v>18</v>
      </c>
      <c r="C33" s="73">
        <f>1313903+44164+44164+42739+441643+44164</f>
        <v>1930777</v>
      </c>
      <c r="D33" s="71">
        <f>C33</f>
        <v>1930777</v>
      </c>
      <c r="E33" s="76">
        <v>0</v>
      </c>
      <c r="F33" s="115"/>
      <c r="G33" s="137"/>
      <c r="H33" s="137"/>
      <c r="I33" s="137"/>
      <c r="J33" s="122"/>
      <c r="K33" s="111"/>
      <c r="L33" s="111"/>
      <c r="M33" s="118"/>
      <c r="N33" s="118"/>
      <c r="O33" s="118"/>
      <c r="P33" s="118"/>
      <c r="Q33" s="118"/>
      <c r="R33" s="118"/>
      <c r="S33" s="118"/>
      <c r="T33" s="118"/>
      <c r="U33" s="118"/>
      <c r="V33" s="118"/>
      <c r="W33" s="118"/>
    </row>
    <row r="34" spans="1:23" s="74" customFormat="1" ht="15" x14ac:dyDescent="0.25">
      <c r="A34" s="69">
        <v>1.1299999999999999</v>
      </c>
      <c r="B34" s="75" t="s">
        <v>74</v>
      </c>
      <c r="C34" s="76">
        <v>0</v>
      </c>
      <c r="D34" s="71">
        <v>0</v>
      </c>
      <c r="E34" s="76">
        <f t="shared" si="0"/>
        <v>0</v>
      </c>
      <c r="F34" s="115"/>
      <c r="G34" s="137"/>
      <c r="H34" s="137"/>
      <c r="I34" s="137"/>
      <c r="J34" s="122"/>
      <c r="K34" s="111"/>
      <c r="L34" s="111"/>
      <c r="M34" s="118"/>
      <c r="N34" s="118"/>
      <c r="O34" s="118"/>
      <c r="P34" s="118"/>
      <c r="Q34" s="118"/>
      <c r="R34" s="118"/>
      <c r="S34" s="118"/>
      <c r="T34" s="118"/>
      <c r="U34" s="118"/>
      <c r="V34" s="118"/>
      <c r="W34" s="118"/>
    </row>
    <row r="35" spans="1:23" s="74" customFormat="1" ht="36" x14ac:dyDescent="0.2">
      <c r="A35" s="78">
        <v>1.1399999999999999</v>
      </c>
      <c r="B35" s="75" t="s">
        <v>856</v>
      </c>
      <c r="C35" s="76">
        <v>0</v>
      </c>
      <c r="D35" s="76">
        <v>0</v>
      </c>
      <c r="E35" s="76">
        <f t="shared" si="0"/>
        <v>0</v>
      </c>
      <c r="F35" s="111"/>
      <c r="G35" s="139"/>
      <c r="H35" s="137"/>
      <c r="I35" s="137"/>
      <c r="J35" s="122"/>
      <c r="K35" s="111"/>
      <c r="L35" s="111"/>
      <c r="M35" s="118"/>
      <c r="N35" s="118"/>
      <c r="O35" s="118"/>
      <c r="P35" s="118"/>
      <c r="Q35" s="118"/>
      <c r="R35" s="118"/>
      <c r="S35" s="118"/>
      <c r="T35" s="118"/>
      <c r="U35" s="118"/>
      <c r="V35" s="118"/>
      <c r="W35" s="118"/>
    </row>
    <row r="36" spans="1:23" s="74" customFormat="1" ht="24" x14ac:dyDescent="0.25">
      <c r="A36" s="157">
        <v>1.1499999999999999</v>
      </c>
      <c r="B36" s="79" t="s">
        <v>78</v>
      </c>
      <c r="C36" s="17">
        <f>1653456--132882-24826-849317-34579-80421-100466-45694-158366</f>
        <v>492669</v>
      </c>
      <c r="D36" s="76">
        <v>0</v>
      </c>
      <c r="E36" s="68">
        <f t="shared" si="0"/>
        <v>492669</v>
      </c>
      <c r="F36" s="116"/>
      <c r="G36" s="140"/>
      <c r="H36" s="137"/>
      <c r="I36" s="137"/>
      <c r="J36" s="122"/>
      <c r="K36" s="111"/>
      <c r="L36" s="111"/>
      <c r="M36" s="118"/>
      <c r="N36" s="118"/>
      <c r="O36" s="118"/>
      <c r="P36" s="118"/>
      <c r="Q36" s="118"/>
      <c r="R36" s="118"/>
      <c r="S36" s="118"/>
      <c r="T36" s="118"/>
      <c r="U36" s="118"/>
      <c r="V36" s="118"/>
      <c r="W36" s="118"/>
    </row>
    <row r="37" spans="1:23" s="74" customFormat="1" ht="15" x14ac:dyDescent="0.25">
      <c r="A37" s="158"/>
      <c r="B37" s="75" t="s">
        <v>77</v>
      </c>
      <c r="C37" s="71"/>
      <c r="D37" s="80">
        <v>1</v>
      </c>
      <c r="E37" s="68">
        <f>C37-(C37*D37)</f>
        <v>0</v>
      </c>
      <c r="F37" s="111"/>
      <c r="G37" s="140"/>
      <c r="H37" s="137"/>
      <c r="I37" s="137"/>
      <c r="J37" s="122"/>
      <c r="K37" s="111"/>
      <c r="L37" s="111"/>
      <c r="M37" s="118"/>
      <c r="N37" s="118"/>
      <c r="O37" s="118"/>
      <c r="P37" s="118"/>
      <c r="Q37" s="118"/>
      <c r="R37" s="118"/>
      <c r="S37" s="118"/>
      <c r="T37" s="118"/>
      <c r="U37" s="118"/>
      <c r="V37" s="118"/>
      <c r="W37" s="118"/>
    </row>
    <row r="38" spans="1:23" s="74" customFormat="1" ht="15" x14ac:dyDescent="0.25">
      <c r="A38" s="157">
        <v>1.1599999999999999</v>
      </c>
      <c r="B38" s="81" t="s">
        <v>19</v>
      </c>
      <c r="C38" s="71"/>
      <c r="D38" s="82" t="s">
        <v>871</v>
      </c>
      <c r="E38" s="83"/>
      <c r="F38" s="115"/>
      <c r="G38" s="141"/>
      <c r="H38" s="137"/>
      <c r="I38" s="137"/>
      <c r="J38" s="122"/>
      <c r="K38" s="111"/>
      <c r="L38" s="111"/>
      <c r="M38" s="118"/>
      <c r="N38" s="118"/>
      <c r="O38" s="118"/>
      <c r="P38" s="118"/>
      <c r="Q38" s="118"/>
      <c r="R38" s="118"/>
      <c r="S38" s="118"/>
      <c r="T38" s="118"/>
      <c r="U38" s="118"/>
      <c r="V38" s="118"/>
      <c r="W38" s="118"/>
    </row>
    <row r="39" spans="1:23" s="74" customFormat="1" ht="24" x14ac:dyDescent="0.2">
      <c r="A39" s="159"/>
      <c r="B39" s="95" t="s">
        <v>20</v>
      </c>
      <c r="C39" s="71">
        <f>6715812+1018+3575+5199</f>
        <v>6725604</v>
      </c>
      <c r="D39" s="71">
        <v>0</v>
      </c>
      <c r="E39" s="71">
        <v>0</v>
      </c>
      <c r="F39" s="111"/>
      <c r="G39" s="142"/>
      <c r="H39" s="137"/>
      <c r="I39" s="137"/>
      <c r="J39" s="122"/>
      <c r="K39" s="111"/>
      <c r="L39" s="111"/>
      <c r="M39" s="118"/>
      <c r="N39" s="118"/>
      <c r="O39" s="118"/>
      <c r="P39" s="118"/>
      <c r="Q39" s="118"/>
      <c r="R39" s="118"/>
      <c r="S39" s="118"/>
      <c r="T39" s="118"/>
      <c r="U39" s="118"/>
      <c r="V39" s="118"/>
      <c r="W39" s="118"/>
    </row>
    <row r="40" spans="1:23" s="74" customFormat="1" ht="24" x14ac:dyDescent="0.2">
      <c r="A40" s="158"/>
      <c r="B40" s="77" t="s">
        <v>76</v>
      </c>
      <c r="C40" s="71">
        <v>6868070</v>
      </c>
      <c r="D40" s="71">
        <v>0</v>
      </c>
      <c r="E40" s="71">
        <f>C40-D40</f>
        <v>6868070</v>
      </c>
      <c r="F40" s="111"/>
      <c r="G40" s="137"/>
      <c r="H40" s="137"/>
      <c r="I40" s="137"/>
      <c r="J40" s="122"/>
      <c r="K40" s="111"/>
      <c r="L40" s="111"/>
      <c r="M40" s="118"/>
      <c r="N40" s="118"/>
      <c r="O40" s="118"/>
      <c r="P40" s="118"/>
      <c r="Q40" s="118"/>
      <c r="R40" s="118"/>
      <c r="S40" s="118"/>
      <c r="T40" s="118"/>
      <c r="U40" s="118"/>
      <c r="V40" s="118"/>
      <c r="W40" s="118"/>
    </row>
    <row r="41" spans="1:23" s="74" customFormat="1" x14ac:dyDescent="0.2">
      <c r="A41" s="157">
        <v>1.17</v>
      </c>
      <c r="B41" s="84" t="s">
        <v>21</v>
      </c>
      <c r="C41" s="94"/>
      <c r="D41" s="71"/>
      <c r="E41" s="88"/>
      <c r="F41" s="111"/>
      <c r="G41" s="137"/>
      <c r="H41" s="137"/>
      <c r="I41" s="137"/>
      <c r="J41" s="122"/>
      <c r="K41" s="111"/>
      <c r="L41" s="111"/>
      <c r="M41" s="118"/>
      <c r="N41" s="118"/>
      <c r="O41" s="118"/>
      <c r="P41" s="118"/>
      <c r="Q41" s="118"/>
      <c r="R41" s="118"/>
      <c r="S41" s="118"/>
      <c r="T41" s="118"/>
      <c r="U41" s="118"/>
      <c r="V41" s="118"/>
      <c r="W41" s="118"/>
    </row>
    <row r="42" spans="1:23" s="74" customFormat="1" ht="60" x14ac:dyDescent="0.2">
      <c r="A42" s="159"/>
      <c r="B42" s="77" t="s">
        <v>857</v>
      </c>
      <c r="C42" s="94">
        <v>38806384</v>
      </c>
      <c r="D42" s="71">
        <v>31979848</v>
      </c>
      <c r="E42" s="71">
        <f>D42</f>
        <v>31979848</v>
      </c>
      <c r="F42" s="111"/>
      <c r="G42" s="137"/>
      <c r="H42" s="137"/>
      <c r="I42" s="137"/>
      <c r="J42" s="122"/>
      <c r="K42" s="111"/>
      <c r="L42" s="111"/>
      <c r="M42" s="118"/>
      <c r="N42" s="118"/>
      <c r="O42" s="118"/>
      <c r="P42" s="118"/>
      <c r="Q42" s="118"/>
      <c r="R42" s="118"/>
      <c r="S42" s="118"/>
      <c r="T42" s="118"/>
      <c r="U42" s="118"/>
      <c r="V42" s="118"/>
      <c r="W42" s="118"/>
    </row>
    <row r="43" spans="1:23" s="74" customFormat="1" ht="24" x14ac:dyDescent="0.2">
      <c r="A43" s="159"/>
      <c r="B43" s="77" t="s">
        <v>858</v>
      </c>
      <c r="C43" s="94">
        <v>0</v>
      </c>
      <c r="D43" s="94">
        <f>C43*5/100</f>
        <v>0</v>
      </c>
      <c r="E43" s="71">
        <f>C43-D43</f>
        <v>0</v>
      </c>
      <c r="F43" s="111"/>
      <c r="G43" s="137"/>
      <c r="H43" s="137"/>
      <c r="I43" s="137"/>
      <c r="J43" s="122"/>
      <c r="K43" s="111"/>
      <c r="L43" s="111"/>
      <c r="M43" s="118"/>
      <c r="N43" s="118"/>
      <c r="O43" s="118"/>
      <c r="P43" s="118"/>
      <c r="Q43" s="118"/>
      <c r="R43" s="118"/>
      <c r="S43" s="118"/>
      <c r="T43" s="118"/>
      <c r="U43" s="118"/>
      <c r="V43" s="118"/>
      <c r="W43" s="118"/>
    </row>
    <row r="44" spans="1:23" s="74" customFormat="1" ht="36" x14ac:dyDescent="0.2">
      <c r="A44" s="159"/>
      <c r="B44" s="77" t="s">
        <v>859</v>
      </c>
      <c r="C44" s="94">
        <v>0</v>
      </c>
      <c r="D44" s="71">
        <v>0</v>
      </c>
      <c r="E44" s="71">
        <f>C44-D44</f>
        <v>0</v>
      </c>
      <c r="F44" s="111"/>
      <c r="G44" s="137"/>
      <c r="H44" s="137"/>
      <c r="I44" s="137"/>
      <c r="J44" s="122"/>
      <c r="K44" s="111"/>
      <c r="L44" s="111"/>
      <c r="M44" s="118"/>
      <c r="N44" s="118"/>
      <c r="O44" s="118"/>
      <c r="P44" s="118"/>
      <c r="Q44" s="118"/>
      <c r="R44" s="118"/>
      <c r="S44" s="118"/>
      <c r="T44" s="118"/>
      <c r="U44" s="118"/>
      <c r="V44" s="118"/>
      <c r="W44" s="118"/>
    </row>
    <row r="45" spans="1:23" s="74" customFormat="1" ht="36" x14ac:dyDescent="0.2">
      <c r="A45" s="159"/>
      <c r="B45" s="77" t="s">
        <v>860</v>
      </c>
      <c r="C45" s="94">
        <f>6157395-Sheet1!E18</f>
        <v>2243579</v>
      </c>
      <c r="D45" s="76">
        <v>0</v>
      </c>
      <c r="E45" s="68">
        <f>C45-D45</f>
        <v>2243579</v>
      </c>
      <c r="F45" s="111"/>
      <c r="G45" s="137"/>
      <c r="H45" s="137"/>
      <c r="I45" s="137"/>
      <c r="J45" s="122"/>
      <c r="K45" s="111"/>
      <c r="L45" s="111"/>
      <c r="M45" s="118"/>
      <c r="N45" s="118"/>
      <c r="O45" s="118"/>
      <c r="P45" s="118"/>
      <c r="Q45" s="118"/>
      <c r="R45" s="118"/>
      <c r="S45" s="118"/>
      <c r="T45" s="118"/>
      <c r="U45" s="118"/>
      <c r="V45" s="118"/>
      <c r="W45" s="118"/>
    </row>
    <row r="46" spans="1:23" s="74" customFormat="1" ht="61.5" customHeight="1" x14ac:dyDescent="0.2">
      <c r="A46" s="159"/>
      <c r="B46" s="77" t="s">
        <v>861</v>
      </c>
      <c r="C46" s="71">
        <f>96915634-C47</f>
        <v>35975297</v>
      </c>
      <c r="D46" s="71">
        <f>42312795-Sheet1!G18</f>
        <v>16744072</v>
      </c>
      <c r="E46" s="73">
        <f>D46</f>
        <v>16744072</v>
      </c>
      <c r="F46" s="137"/>
      <c r="G46" s="137"/>
      <c r="H46" s="137"/>
      <c r="I46" s="137"/>
      <c r="J46" s="122"/>
      <c r="K46" s="111"/>
      <c r="L46" s="111"/>
      <c r="M46" s="118"/>
      <c r="N46" s="118"/>
      <c r="O46" s="118"/>
      <c r="P46" s="118"/>
      <c r="Q46" s="118"/>
      <c r="R46" s="118"/>
      <c r="S46" s="118"/>
      <c r="T46" s="118"/>
      <c r="U46" s="118"/>
      <c r="V46" s="118"/>
      <c r="W46" s="118"/>
    </row>
    <row r="47" spans="1:23" s="74" customFormat="1" x14ac:dyDescent="0.2">
      <c r="A47" s="158"/>
      <c r="B47" s="86" t="s">
        <v>22</v>
      </c>
      <c r="C47" s="94">
        <f>Sheet1!D18</f>
        <v>60940337</v>
      </c>
      <c r="D47" s="80">
        <v>1</v>
      </c>
      <c r="E47" s="68">
        <f>C47-(C47*D47)</f>
        <v>0</v>
      </c>
      <c r="F47" s="137"/>
      <c r="G47" s="137"/>
      <c r="H47" s="137"/>
      <c r="I47" s="137"/>
      <c r="J47" s="122"/>
      <c r="K47" s="111"/>
      <c r="L47" s="111"/>
      <c r="M47" s="118"/>
      <c r="N47" s="118"/>
      <c r="O47" s="118"/>
      <c r="P47" s="118"/>
      <c r="Q47" s="118"/>
      <c r="R47" s="118"/>
      <c r="S47" s="118"/>
      <c r="T47" s="118"/>
      <c r="U47" s="118"/>
      <c r="V47" s="118"/>
      <c r="W47" s="118"/>
    </row>
    <row r="48" spans="1:23" s="74" customFormat="1" x14ac:dyDescent="0.2">
      <c r="A48" s="157">
        <v>1.18</v>
      </c>
      <c r="B48" s="84" t="s">
        <v>23</v>
      </c>
      <c r="C48" s="71"/>
      <c r="D48" s="87"/>
      <c r="E48" s="83"/>
      <c r="F48" s="137"/>
      <c r="G48" s="137"/>
      <c r="H48" s="137"/>
      <c r="I48" s="137"/>
      <c r="J48" s="122"/>
      <c r="K48" s="111"/>
      <c r="L48" s="111"/>
      <c r="M48" s="118"/>
      <c r="N48" s="118"/>
      <c r="O48" s="118"/>
      <c r="P48" s="118"/>
      <c r="Q48" s="118"/>
      <c r="R48" s="118"/>
      <c r="S48" s="118"/>
      <c r="T48" s="118"/>
      <c r="U48" s="118"/>
      <c r="V48" s="118"/>
      <c r="W48" s="118"/>
    </row>
    <row r="49" spans="1:23" s="74" customFormat="1" x14ac:dyDescent="0.2">
      <c r="A49" s="159"/>
      <c r="B49" s="76" t="s">
        <v>97</v>
      </c>
      <c r="C49" s="112">
        <f>30277538+494731+136490+2543560+1535652+108343</f>
        <v>35096314</v>
      </c>
      <c r="D49" s="71">
        <v>0</v>
      </c>
      <c r="E49" s="88">
        <f>C49</f>
        <v>35096314</v>
      </c>
      <c r="F49" s="137"/>
      <c r="G49" s="137"/>
      <c r="H49" s="137"/>
      <c r="I49" s="137"/>
      <c r="J49" s="122"/>
      <c r="K49" s="111"/>
      <c r="L49" s="111"/>
      <c r="M49" s="118"/>
      <c r="N49" s="118"/>
      <c r="O49" s="118"/>
      <c r="P49" s="118"/>
      <c r="Q49" s="118"/>
      <c r="R49" s="118"/>
      <c r="S49" s="118"/>
      <c r="T49" s="118"/>
      <c r="U49" s="118"/>
      <c r="V49" s="118"/>
      <c r="W49" s="118"/>
    </row>
    <row r="50" spans="1:23" s="74" customFormat="1" x14ac:dyDescent="0.2">
      <c r="A50" s="159"/>
      <c r="B50" s="76" t="s">
        <v>24</v>
      </c>
      <c r="C50" s="71">
        <f>47454797+124108</f>
        <v>47578905</v>
      </c>
      <c r="D50" s="71">
        <v>0</v>
      </c>
      <c r="E50" s="88">
        <f>C50</f>
        <v>47578905</v>
      </c>
      <c r="F50" s="137"/>
      <c r="G50" s="137"/>
      <c r="H50" s="137"/>
      <c r="I50" s="137"/>
      <c r="J50" s="122"/>
      <c r="K50" s="111"/>
      <c r="L50" s="111"/>
      <c r="M50" s="118"/>
      <c r="N50" s="118"/>
      <c r="O50" s="118"/>
      <c r="P50" s="118"/>
      <c r="Q50" s="118"/>
      <c r="R50" s="118"/>
      <c r="S50" s="118"/>
      <c r="T50" s="118"/>
      <c r="U50" s="118"/>
      <c r="V50" s="118"/>
      <c r="W50" s="118"/>
    </row>
    <row r="51" spans="1:23" s="74" customFormat="1" x14ac:dyDescent="0.2">
      <c r="A51" s="158"/>
      <c r="B51" s="76" t="s">
        <v>25</v>
      </c>
      <c r="C51" s="71">
        <v>1646810</v>
      </c>
      <c r="D51" s="71">
        <v>0</v>
      </c>
      <c r="E51" s="88">
        <f>C51-D51</f>
        <v>1646810</v>
      </c>
      <c r="F51" s="137"/>
      <c r="G51" s="137"/>
      <c r="H51" s="137"/>
      <c r="I51" s="137"/>
      <c r="J51" s="122"/>
      <c r="K51" s="111"/>
      <c r="L51" s="111"/>
      <c r="M51" s="118"/>
      <c r="N51" s="118"/>
      <c r="O51" s="118"/>
      <c r="P51" s="118"/>
      <c r="Q51" s="118"/>
      <c r="R51" s="118"/>
      <c r="S51" s="118"/>
      <c r="T51" s="118"/>
      <c r="U51" s="118"/>
      <c r="V51" s="118"/>
      <c r="W51" s="118"/>
    </row>
    <row r="52" spans="1:23" s="74" customFormat="1" x14ac:dyDescent="0.2">
      <c r="A52" s="69">
        <v>1.19</v>
      </c>
      <c r="B52" s="84" t="s">
        <v>26</v>
      </c>
      <c r="C52" s="89">
        <f>SUM(C7:C51)</f>
        <v>289892393</v>
      </c>
      <c r="D52" s="71"/>
      <c r="E52" s="89">
        <f>SUM(E7:E51)</f>
        <v>178257168.25</v>
      </c>
      <c r="F52" s="137"/>
      <c r="G52" s="137"/>
      <c r="H52" s="137"/>
      <c r="I52" s="137"/>
      <c r="J52" s="122"/>
      <c r="K52" s="111"/>
      <c r="L52" s="111"/>
      <c r="M52" s="118"/>
      <c r="N52" s="118"/>
      <c r="O52" s="118"/>
      <c r="P52" s="118"/>
      <c r="Q52" s="118"/>
      <c r="R52" s="118"/>
      <c r="S52" s="118"/>
      <c r="T52" s="118"/>
      <c r="U52" s="118"/>
      <c r="V52" s="118"/>
      <c r="W52" s="118"/>
    </row>
    <row r="53" spans="1:23" s="74" customFormat="1" x14ac:dyDescent="0.2">
      <c r="A53" s="156" t="s">
        <v>27</v>
      </c>
      <c r="B53" s="156"/>
      <c r="C53" s="156"/>
      <c r="D53" s="156"/>
      <c r="E53" s="156"/>
      <c r="F53" s="137"/>
      <c r="G53" s="137"/>
      <c r="H53" s="137"/>
      <c r="I53" s="137"/>
      <c r="J53" s="122"/>
      <c r="K53" s="111"/>
      <c r="L53" s="111"/>
      <c r="M53" s="118"/>
      <c r="N53" s="118"/>
      <c r="O53" s="118"/>
      <c r="P53" s="118"/>
      <c r="Q53" s="118"/>
      <c r="R53" s="118"/>
      <c r="S53" s="118"/>
      <c r="T53" s="118"/>
      <c r="U53" s="118"/>
      <c r="V53" s="118"/>
      <c r="W53" s="118"/>
    </row>
    <row r="54" spans="1:23" s="74" customFormat="1" x14ac:dyDescent="0.2">
      <c r="A54" s="157">
        <v>2.1</v>
      </c>
      <c r="B54" s="84" t="s">
        <v>28</v>
      </c>
      <c r="C54" s="71"/>
      <c r="D54" s="90"/>
      <c r="E54" s="68"/>
      <c r="F54" s="111"/>
      <c r="G54" s="137"/>
      <c r="H54" s="137"/>
      <c r="I54" s="137"/>
      <c r="J54" s="122"/>
      <c r="K54" s="111"/>
      <c r="L54" s="111"/>
      <c r="M54" s="118"/>
      <c r="N54" s="118"/>
      <c r="O54" s="118"/>
      <c r="P54" s="118"/>
      <c r="Q54" s="118"/>
      <c r="R54" s="118"/>
      <c r="S54" s="118"/>
      <c r="T54" s="118"/>
      <c r="U54" s="118"/>
      <c r="V54" s="118"/>
      <c r="W54" s="118"/>
    </row>
    <row r="55" spans="1:23" s="74" customFormat="1" x14ac:dyDescent="0.2">
      <c r="A55" s="159"/>
      <c r="B55" s="91" t="s">
        <v>29</v>
      </c>
      <c r="C55" s="71">
        <f>22495+2311263</f>
        <v>2333758</v>
      </c>
      <c r="D55" s="71">
        <v>0</v>
      </c>
      <c r="E55" s="76">
        <f t="shared" ref="E55:E67" si="1">C55-D55</f>
        <v>2333758</v>
      </c>
      <c r="F55" s="111"/>
      <c r="G55" s="137"/>
      <c r="H55" s="137"/>
      <c r="I55" s="137"/>
      <c r="J55" s="122"/>
      <c r="K55" s="111"/>
      <c r="L55" s="111"/>
      <c r="M55" s="118"/>
      <c r="N55" s="118"/>
      <c r="O55" s="118"/>
      <c r="P55" s="118"/>
      <c r="Q55" s="118"/>
      <c r="R55" s="118"/>
      <c r="S55" s="118"/>
      <c r="T55" s="118"/>
      <c r="U55" s="118"/>
      <c r="V55" s="118"/>
      <c r="W55" s="118"/>
    </row>
    <row r="56" spans="1:23" s="74" customFormat="1" x14ac:dyDescent="0.2">
      <c r="A56" s="159"/>
      <c r="B56" s="91" t="s">
        <v>30</v>
      </c>
      <c r="C56" s="71">
        <v>0</v>
      </c>
      <c r="D56" s="71">
        <v>0</v>
      </c>
      <c r="E56" s="76">
        <f t="shared" si="1"/>
        <v>0</v>
      </c>
      <c r="F56" s="111"/>
      <c r="G56" s="137"/>
      <c r="H56" s="137"/>
      <c r="I56" s="137"/>
      <c r="J56" s="122"/>
      <c r="K56" s="111"/>
      <c r="L56" s="111"/>
      <c r="M56" s="118"/>
      <c r="N56" s="118"/>
      <c r="O56" s="118"/>
      <c r="P56" s="118"/>
      <c r="Q56" s="118"/>
      <c r="R56" s="118"/>
      <c r="S56" s="118"/>
      <c r="T56" s="118"/>
      <c r="U56" s="118"/>
      <c r="V56" s="118"/>
      <c r="W56" s="118"/>
    </row>
    <row r="57" spans="1:23" s="74" customFormat="1" x14ac:dyDescent="0.2">
      <c r="A57" s="158"/>
      <c r="B57" s="91" t="s">
        <v>31</v>
      </c>
      <c r="C57" s="71">
        <f>60188023-C55</f>
        <v>57854265</v>
      </c>
      <c r="D57" s="71">
        <v>0</v>
      </c>
      <c r="E57" s="76">
        <f t="shared" si="1"/>
        <v>57854265</v>
      </c>
      <c r="F57" s="111"/>
      <c r="G57" s="137"/>
      <c r="H57" s="137"/>
      <c r="I57" s="137"/>
      <c r="J57" s="122"/>
      <c r="K57" s="111"/>
      <c r="L57" s="111"/>
      <c r="M57" s="118"/>
      <c r="N57" s="118"/>
      <c r="O57" s="118"/>
      <c r="P57" s="118"/>
      <c r="Q57" s="118"/>
      <c r="R57" s="118"/>
      <c r="S57" s="118"/>
      <c r="T57" s="118"/>
      <c r="U57" s="118"/>
      <c r="V57" s="118"/>
      <c r="W57" s="118"/>
    </row>
    <row r="58" spans="1:23" s="74" customFormat="1" x14ac:dyDescent="0.2">
      <c r="A58" s="157">
        <v>2.2000000000000002</v>
      </c>
      <c r="B58" s="84" t="s">
        <v>32</v>
      </c>
      <c r="C58" s="76"/>
      <c r="D58" s="85"/>
      <c r="E58" s="68"/>
      <c r="F58" s="111"/>
      <c r="G58" s="137"/>
      <c r="H58" s="137"/>
      <c r="I58" s="137"/>
      <c r="J58" s="122"/>
      <c r="K58" s="111"/>
      <c r="L58" s="111"/>
      <c r="M58" s="118"/>
      <c r="N58" s="118"/>
      <c r="O58" s="118"/>
      <c r="P58" s="118"/>
      <c r="Q58" s="118"/>
      <c r="R58" s="118"/>
      <c r="S58" s="118"/>
      <c r="T58" s="118"/>
      <c r="U58" s="118"/>
      <c r="V58" s="118"/>
      <c r="W58" s="118"/>
    </row>
    <row r="59" spans="1:23" s="74" customFormat="1" x14ac:dyDescent="0.2">
      <c r="A59" s="159"/>
      <c r="B59" s="91" t="s">
        <v>33</v>
      </c>
      <c r="C59" s="71">
        <f>842318+460846+154533</f>
        <v>1457697</v>
      </c>
      <c r="D59" s="71">
        <v>0</v>
      </c>
      <c r="E59" s="76">
        <f t="shared" si="1"/>
        <v>1457697</v>
      </c>
      <c r="F59" s="111"/>
      <c r="G59" s="137"/>
      <c r="H59" s="137"/>
      <c r="I59" s="137"/>
      <c r="J59" s="122"/>
      <c r="K59" s="111"/>
      <c r="L59" s="111"/>
      <c r="M59" s="118"/>
      <c r="N59" s="118"/>
      <c r="O59" s="118"/>
      <c r="P59" s="118"/>
      <c r="Q59" s="118"/>
      <c r="R59" s="118"/>
      <c r="S59" s="118"/>
      <c r="T59" s="118"/>
      <c r="U59" s="118"/>
      <c r="V59" s="118"/>
      <c r="W59" s="118"/>
    </row>
    <row r="60" spans="1:23" s="74" customFormat="1" x14ac:dyDescent="0.2">
      <c r="A60" s="159"/>
      <c r="B60" s="91" t="s">
        <v>34</v>
      </c>
      <c r="C60" s="76">
        <f>2371337+26744+132283+971702+2749969+641030</f>
        <v>6893065</v>
      </c>
      <c r="D60" s="71">
        <v>0</v>
      </c>
      <c r="E60" s="76">
        <f t="shared" si="1"/>
        <v>6893065</v>
      </c>
      <c r="F60" s="117"/>
      <c r="G60" s="137"/>
      <c r="H60" s="137"/>
      <c r="I60" s="137"/>
      <c r="J60" s="122"/>
      <c r="K60" s="111"/>
      <c r="L60" s="111"/>
      <c r="M60" s="118"/>
      <c r="N60" s="118"/>
      <c r="O60" s="118"/>
      <c r="P60" s="118"/>
      <c r="Q60" s="118"/>
      <c r="R60" s="118"/>
      <c r="S60" s="118"/>
      <c r="T60" s="118"/>
      <c r="U60" s="118"/>
      <c r="V60" s="118"/>
      <c r="W60" s="118"/>
    </row>
    <row r="61" spans="1:23" s="74" customFormat="1" x14ac:dyDescent="0.2">
      <c r="A61" s="159"/>
      <c r="B61" s="91" t="s">
        <v>35</v>
      </c>
      <c r="C61" s="71">
        <v>47500000</v>
      </c>
      <c r="D61" s="71">
        <v>0</v>
      </c>
      <c r="E61" s="76">
        <f t="shared" si="1"/>
        <v>47500000</v>
      </c>
      <c r="F61" s="111"/>
      <c r="G61" s="137"/>
      <c r="H61" s="137"/>
      <c r="I61" s="137"/>
      <c r="J61" s="122"/>
      <c r="K61" s="111"/>
      <c r="L61" s="111"/>
      <c r="M61" s="118"/>
      <c r="N61" s="118"/>
      <c r="O61" s="118"/>
      <c r="P61" s="118"/>
      <c r="Q61" s="118"/>
      <c r="R61" s="118"/>
      <c r="S61" s="118"/>
      <c r="T61" s="118"/>
      <c r="U61" s="118"/>
      <c r="V61" s="118"/>
      <c r="W61" s="118"/>
    </row>
    <row r="62" spans="1:23" s="74" customFormat="1" x14ac:dyDescent="0.2">
      <c r="A62" s="159"/>
      <c r="B62" s="91" t="s">
        <v>36</v>
      </c>
      <c r="C62" s="71">
        <v>30000000</v>
      </c>
      <c r="D62" s="71">
        <v>0</v>
      </c>
      <c r="E62" s="76">
        <f>C62-D61</f>
        <v>30000000</v>
      </c>
      <c r="F62" s="111"/>
      <c r="G62" s="137"/>
      <c r="H62" s="137"/>
      <c r="I62" s="137"/>
      <c r="J62" s="122"/>
      <c r="K62" s="111"/>
      <c r="L62" s="111"/>
      <c r="M62" s="118"/>
      <c r="N62" s="118"/>
      <c r="O62" s="118"/>
      <c r="P62" s="118"/>
      <c r="Q62" s="118"/>
      <c r="R62" s="118"/>
      <c r="S62" s="118"/>
      <c r="T62" s="118"/>
      <c r="U62" s="118"/>
      <c r="V62" s="118"/>
      <c r="W62" s="118"/>
    </row>
    <row r="63" spans="1:23" s="74" customFormat="1" x14ac:dyDescent="0.2">
      <c r="A63" s="159"/>
      <c r="B63" s="91" t="s">
        <v>37</v>
      </c>
      <c r="C63" s="71">
        <v>0</v>
      </c>
      <c r="D63" s="71">
        <v>0</v>
      </c>
      <c r="E63" s="76">
        <f>C63-D62</f>
        <v>0</v>
      </c>
      <c r="F63" s="111"/>
      <c r="G63" s="137"/>
      <c r="H63" s="137"/>
      <c r="I63" s="137"/>
      <c r="J63" s="122"/>
      <c r="K63" s="111"/>
      <c r="L63" s="111"/>
      <c r="M63" s="118"/>
      <c r="N63" s="118"/>
      <c r="O63" s="118"/>
      <c r="P63" s="118"/>
      <c r="Q63" s="118"/>
      <c r="R63" s="118"/>
      <c r="S63" s="118"/>
      <c r="T63" s="118"/>
      <c r="U63" s="118"/>
      <c r="V63" s="118"/>
      <c r="W63" s="118"/>
    </row>
    <row r="64" spans="1:23" s="74" customFormat="1" x14ac:dyDescent="0.2">
      <c r="A64" s="159"/>
      <c r="B64" s="91" t="s">
        <v>38</v>
      </c>
      <c r="C64" s="71">
        <v>0</v>
      </c>
      <c r="D64" s="71">
        <v>0</v>
      </c>
      <c r="E64" s="76">
        <f t="shared" si="1"/>
        <v>0</v>
      </c>
      <c r="F64" s="111"/>
      <c r="G64" s="137"/>
      <c r="H64" s="137"/>
      <c r="I64" s="137"/>
      <c r="J64" s="122"/>
      <c r="K64" s="111"/>
      <c r="L64" s="111"/>
      <c r="M64" s="118"/>
      <c r="N64" s="118"/>
      <c r="O64" s="118"/>
      <c r="P64" s="118"/>
      <c r="Q64" s="118"/>
      <c r="R64" s="118"/>
      <c r="S64" s="118"/>
      <c r="T64" s="118"/>
      <c r="U64" s="118"/>
      <c r="V64" s="118"/>
      <c r="W64" s="118"/>
    </row>
    <row r="65" spans="1:23" s="74" customFormat="1" x14ac:dyDescent="0.2">
      <c r="A65" s="159"/>
      <c r="B65" s="91" t="s">
        <v>39</v>
      </c>
      <c r="C65" s="71">
        <v>0</v>
      </c>
      <c r="D65" s="71">
        <v>0</v>
      </c>
      <c r="E65" s="71">
        <f t="shared" si="1"/>
        <v>0</v>
      </c>
      <c r="F65" s="111"/>
      <c r="G65" s="137"/>
      <c r="H65" s="137"/>
      <c r="I65" s="137"/>
      <c r="J65" s="122"/>
      <c r="K65" s="111"/>
      <c r="L65" s="111"/>
      <c r="M65" s="118"/>
      <c r="N65" s="118"/>
      <c r="O65" s="118"/>
      <c r="P65" s="118"/>
      <c r="Q65" s="118"/>
      <c r="R65" s="118"/>
      <c r="S65" s="118"/>
      <c r="T65" s="118"/>
      <c r="U65" s="118"/>
      <c r="V65" s="118"/>
      <c r="W65" s="118"/>
    </row>
    <row r="66" spans="1:23" s="74" customFormat="1" x14ac:dyDescent="0.2">
      <c r="A66" s="159"/>
      <c r="B66" s="91" t="s">
        <v>40</v>
      </c>
      <c r="C66" s="71">
        <v>0</v>
      </c>
      <c r="D66" s="71">
        <v>0</v>
      </c>
      <c r="E66" s="76">
        <f t="shared" si="1"/>
        <v>0</v>
      </c>
      <c r="F66" s="111"/>
      <c r="G66" s="137"/>
      <c r="H66" s="137"/>
      <c r="I66" s="137"/>
      <c r="J66" s="122"/>
      <c r="K66" s="111"/>
      <c r="L66" s="111"/>
      <c r="M66" s="118"/>
      <c r="N66" s="118"/>
      <c r="O66" s="118"/>
      <c r="P66" s="118"/>
      <c r="Q66" s="118"/>
      <c r="R66" s="118"/>
      <c r="S66" s="118"/>
      <c r="T66" s="118"/>
      <c r="U66" s="118"/>
      <c r="V66" s="118"/>
      <c r="W66" s="118"/>
    </row>
    <row r="67" spans="1:23" s="74" customFormat="1" ht="24" x14ac:dyDescent="0.2">
      <c r="A67" s="158"/>
      <c r="B67" s="91" t="s">
        <v>41</v>
      </c>
      <c r="C67" s="71">
        <v>0</v>
      </c>
      <c r="D67" s="71"/>
      <c r="E67" s="76">
        <f t="shared" si="1"/>
        <v>0</v>
      </c>
      <c r="F67" s="111"/>
      <c r="G67" s="137"/>
      <c r="H67" s="137"/>
      <c r="I67" s="137"/>
      <c r="J67" s="122"/>
      <c r="K67" s="111"/>
      <c r="L67" s="111"/>
      <c r="M67" s="118"/>
      <c r="N67" s="118"/>
      <c r="O67" s="118"/>
      <c r="P67" s="118"/>
      <c r="Q67" s="118"/>
      <c r="R67" s="118"/>
      <c r="S67" s="118"/>
      <c r="T67" s="118"/>
      <c r="U67" s="118"/>
      <c r="V67" s="118"/>
      <c r="W67" s="118"/>
    </row>
    <row r="68" spans="1:23" s="74" customFormat="1" x14ac:dyDescent="0.2">
      <c r="A68" s="157">
        <v>2.2999999999999998</v>
      </c>
      <c r="B68" s="84" t="s">
        <v>42</v>
      </c>
      <c r="C68" s="76"/>
      <c r="D68" s="76"/>
      <c r="E68" s="88"/>
      <c r="F68" s="111"/>
      <c r="G68" s="137"/>
      <c r="H68" s="137"/>
      <c r="I68" s="137"/>
      <c r="J68" s="122"/>
      <c r="K68" s="111"/>
      <c r="L68" s="111"/>
      <c r="M68" s="118"/>
      <c r="N68" s="118"/>
      <c r="O68" s="118"/>
      <c r="P68" s="118"/>
      <c r="Q68" s="118"/>
      <c r="R68" s="118"/>
      <c r="S68" s="118"/>
      <c r="T68" s="118"/>
      <c r="U68" s="118"/>
      <c r="V68" s="118"/>
      <c r="W68" s="118"/>
    </row>
    <row r="69" spans="1:23" s="74" customFormat="1" x14ac:dyDescent="0.2">
      <c r="A69" s="159"/>
      <c r="B69" s="92" t="s">
        <v>43</v>
      </c>
      <c r="D69" s="71"/>
      <c r="E69" s="88"/>
      <c r="F69" s="111"/>
      <c r="G69" s="137"/>
      <c r="H69" s="137"/>
      <c r="I69" s="137"/>
      <c r="J69" s="122"/>
      <c r="K69" s="111"/>
      <c r="L69" s="111"/>
      <c r="M69" s="118"/>
      <c r="N69" s="118"/>
      <c r="O69" s="118"/>
      <c r="P69" s="118"/>
      <c r="Q69" s="118"/>
      <c r="R69" s="118"/>
      <c r="S69" s="118"/>
      <c r="T69" s="118"/>
      <c r="U69" s="118"/>
      <c r="V69" s="118"/>
      <c r="W69" s="118"/>
    </row>
    <row r="70" spans="1:23" s="74" customFormat="1" ht="36" x14ac:dyDescent="0.25">
      <c r="A70" s="159"/>
      <c r="B70" s="92" t="s">
        <v>98</v>
      </c>
      <c r="C70" s="71">
        <v>0</v>
      </c>
      <c r="D70" s="71">
        <f>C70</f>
        <v>0</v>
      </c>
      <c r="E70" s="76">
        <f>C70-D70</f>
        <v>0</v>
      </c>
      <c r="F70" s="115"/>
      <c r="G70" s="143"/>
      <c r="H70" s="137"/>
      <c r="I70" s="137"/>
      <c r="J70" s="122"/>
      <c r="K70" s="111"/>
      <c r="L70" s="111"/>
      <c r="M70" s="118"/>
      <c r="N70" s="118"/>
      <c r="O70" s="118"/>
      <c r="P70" s="118"/>
      <c r="Q70" s="118"/>
      <c r="R70" s="118"/>
      <c r="S70" s="118"/>
      <c r="T70" s="118"/>
      <c r="U70" s="118"/>
      <c r="V70" s="118"/>
      <c r="W70" s="118"/>
    </row>
    <row r="71" spans="1:23" s="74" customFormat="1" ht="15" x14ac:dyDescent="0.25">
      <c r="A71" s="159"/>
      <c r="B71" s="92" t="s">
        <v>79</v>
      </c>
      <c r="C71" s="76">
        <v>0</v>
      </c>
      <c r="D71" s="71">
        <v>0</v>
      </c>
      <c r="E71" s="76">
        <f t="shared" ref="E71:E77" si="2">C71-D71</f>
        <v>0</v>
      </c>
      <c r="F71" s="115"/>
      <c r="G71" s="140"/>
      <c r="H71" s="137"/>
      <c r="I71" s="137"/>
      <c r="J71" s="122"/>
      <c r="K71" s="111"/>
      <c r="L71" s="111"/>
      <c r="M71" s="118"/>
      <c r="N71" s="118"/>
      <c r="O71" s="118"/>
      <c r="P71" s="118"/>
      <c r="Q71" s="118"/>
      <c r="R71" s="118"/>
      <c r="S71" s="118"/>
      <c r="T71" s="118"/>
      <c r="U71" s="118"/>
      <c r="V71" s="118"/>
      <c r="W71" s="118"/>
    </row>
    <row r="72" spans="1:23" s="74" customFormat="1" ht="15" x14ac:dyDescent="0.25">
      <c r="A72" s="159"/>
      <c r="B72" s="92" t="s">
        <v>44</v>
      </c>
      <c r="C72" s="76">
        <v>0</v>
      </c>
      <c r="D72" s="71">
        <v>0</v>
      </c>
      <c r="E72" s="76">
        <f t="shared" si="2"/>
        <v>0</v>
      </c>
      <c r="F72" s="115"/>
      <c r="G72" s="140"/>
      <c r="H72" s="137"/>
      <c r="I72" s="137"/>
      <c r="J72" s="122"/>
      <c r="K72" s="111"/>
      <c r="L72" s="111"/>
      <c r="M72" s="118"/>
      <c r="N72" s="118"/>
      <c r="O72" s="118"/>
      <c r="P72" s="118"/>
      <c r="Q72" s="118"/>
      <c r="R72" s="118"/>
      <c r="S72" s="118"/>
      <c r="T72" s="118"/>
      <c r="U72" s="118"/>
      <c r="V72" s="118"/>
      <c r="W72" s="118"/>
    </row>
    <row r="73" spans="1:23" s="74" customFormat="1" ht="99.75" customHeight="1" x14ac:dyDescent="0.25">
      <c r="A73" s="159"/>
      <c r="B73" s="93" t="s">
        <v>862</v>
      </c>
      <c r="C73" s="76">
        <v>0</v>
      </c>
      <c r="D73" s="76">
        <v>0</v>
      </c>
      <c r="E73" s="76">
        <f t="shared" si="2"/>
        <v>0</v>
      </c>
      <c r="F73" s="115"/>
      <c r="G73" s="140"/>
      <c r="H73" s="111"/>
      <c r="I73" s="137"/>
      <c r="J73" s="122"/>
      <c r="K73" s="111"/>
      <c r="L73" s="111"/>
      <c r="M73" s="118"/>
      <c r="N73" s="118"/>
      <c r="O73" s="118"/>
      <c r="P73" s="118"/>
      <c r="Q73" s="118"/>
      <c r="R73" s="118"/>
      <c r="S73" s="118"/>
      <c r="T73" s="118"/>
      <c r="U73" s="118"/>
      <c r="V73" s="118"/>
      <c r="W73" s="118"/>
    </row>
    <row r="74" spans="1:23" s="74" customFormat="1" ht="21" customHeight="1" x14ac:dyDescent="0.2">
      <c r="A74" s="158"/>
      <c r="B74" s="92" t="s">
        <v>80</v>
      </c>
      <c r="C74" s="91">
        <v>0</v>
      </c>
      <c r="D74" s="76">
        <v>0</v>
      </c>
      <c r="E74" s="88">
        <f t="shared" si="2"/>
        <v>0</v>
      </c>
      <c r="F74" s="111"/>
      <c r="G74" s="139"/>
      <c r="H74" s="137"/>
      <c r="I74" s="137"/>
      <c r="J74" s="122"/>
      <c r="K74" s="111"/>
      <c r="L74" s="111"/>
      <c r="M74" s="118"/>
      <c r="N74" s="118"/>
      <c r="O74" s="118"/>
      <c r="P74" s="118"/>
      <c r="Q74" s="118"/>
      <c r="R74" s="118"/>
      <c r="S74" s="118"/>
      <c r="T74" s="118"/>
      <c r="U74" s="118"/>
      <c r="V74" s="118"/>
      <c r="W74" s="118"/>
    </row>
    <row r="75" spans="1:23" s="74" customFormat="1" x14ac:dyDescent="0.2">
      <c r="A75" s="157">
        <v>2.4</v>
      </c>
      <c r="B75" s="84" t="s">
        <v>45</v>
      </c>
      <c r="C75" s="91"/>
      <c r="D75" s="94"/>
      <c r="E75" s="68"/>
      <c r="F75" s="111"/>
      <c r="G75" s="137"/>
      <c r="H75" s="137"/>
      <c r="I75" s="137"/>
      <c r="J75" s="122"/>
      <c r="K75" s="111"/>
      <c r="L75" s="111"/>
      <c r="M75" s="118"/>
      <c r="N75" s="118"/>
      <c r="O75" s="118"/>
      <c r="P75" s="118"/>
      <c r="Q75" s="118"/>
      <c r="R75" s="118"/>
      <c r="S75" s="118"/>
      <c r="T75" s="118"/>
      <c r="U75" s="118"/>
      <c r="V75" s="118"/>
      <c r="W75" s="118"/>
    </row>
    <row r="76" spans="1:23" s="74" customFormat="1" ht="132" x14ac:dyDescent="0.25">
      <c r="A76" s="159"/>
      <c r="B76" s="95" t="s">
        <v>81</v>
      </c>
      <c r="C76" s="76">
        <f>129000000-C62</f>
        <v>99000000</v>
      </c>
      <c r="D76" s="107">
        <v>1</v>
      </c>
      <c r="E76" s="2">
        <f>C76-(C76*D76)</f>
        <v>0</v>
      </c>
      <c r="F76" s="111"/>
      <c r="G76" s="143"/>
      <c r="H76" s="137"/>
      <c r="I76" s="137"/>
      <c r="J76" s="122"/>
      <c r="K76" s="111"/>
      <c r="L76" s="111"/>
      <c r="M76" s="118"/>
      <c r="N76" s="118"/>
      <c r="O76" s="118"/>
      <c r="P76" s="118"/>
      <c r="Q76" s="118"/>
      <c r="R76" s="118"/>
      <c r="S76" s="118"/>
      <c r="T76" s="118"/>
      <c r="U76" s="118"/>
      <c r="V76" s="118"/>
      <c r="W76" s="118"/>
    </row>
    <row r="77" spans="1:23" s="74" customFormat="1" ht="15" x14ac:dyDescent="0.25">
      <c r="A77" s="158"/>
      <c r="B77" s="77" t="s">
        <v>75</v>
      </c>
      <c r="C77" s="76">
        <v>0</v>
      </c>
      <c r="D77" s="76">
        <v>0</v>
      </c>
      <c r="E77" s="76">
        <f t="shared" si="2"/>
        <v>0</v>
      </c>
      <c r="F77" s="111"/>
      <c r="G77" s="140"/>
      <c r="H77" s="137"/>
      <c r="I77" s="137"/>
      <c r="J77" s="122"/>
      <c r="K77" s="111"/>
      <c r="L77" s="111"/>
      <c r="M77" s="118"/>
      <c r="N77" s="118"/>
      <c r="O77" s="118"/>
      <c r="P77" s="118"/>
      <c r="Q77" s="118"/>
      <c r="R77" s="118"/>
      <c r="S77" s="118"/>
      <c r="T77" s="118"/>
      <c r="U77" s="118"/>
      <c r="V77" s="118"/>
      <c r="W77" s="118"/>
    </row>
    <row r="78" spans="1:23" s="74" customFormat="1" ht="15" x14ac:dyDescent="0.25">
      <c r="A78" s="96">
        <v>2.5</v>
      </c>
      <c r="B78" s="84" t="s">
        <v>99</v>
      </c>
      <c r="C78" s="99">
        <f>SUM(C54:C77)</f>
        <v>245038785</v>
      </c>
      <c r="D78" s="89"/>
      <c r="E78" s="99">
        <f>SUM(E54:E77)</f>
        <v>146038785</v>
      </c>
      <c r="F78" s="111"/>
      <c r="G78" s="140"/>
      <c r="H78" s="137"/>
      <c r="I78" s="137"/>
      <c r="J78" s="122"/>
      <c r="K78" s="111"/>
      <c r="L78" s="111"/>
      <c r="M78" s="118"/>
      <c r="N78" s="118"/>
      <c r="O78" s="118"/>
      <c r="P78" s="118"/>
      <c r="Q78" s="118"/>
      <c r="R78" s="118"/>
      <c r="S78" s="118"/>
      <c r="T78" s="118"/>
      <c r="U78" s="118"/>
      <c r="V78" s="118"/>
      <c r="W78" s="118"/>
    </row>
    <row r="79" spans="1:23" ht="15" x14ac:dyDescent="0.25">
      <c r="A79" s="156" t="s">
        <v>67</v>
      </c>
      <c r="B79" s="156"/>
      <c r="C79" s="156"/>
      <c r="D79" s="156"/>
      <c r="E79" s="156"/>
      <c r="G79" s="140"/>
    </row>
    <row r="80" spans="1:23" x14ac:dyDescent="0.2">
      <c r="A80" s="160">
        <v>3.1</v>
      </c>
      <c r="B80" s="169" t="s">
        <v>68</v>
      </c>
      <c r="C80" s="170"/>
      <c r="D80" s="170"/>
      <c r="E80" s="171"/>
      <c r="G80" s="139"/>
    </row>
    <row r="81" spans="1:10" ht="36" x14ac:dyDescent="0.2">
      <c r="A81" s="161"/>
      <c r="B81" s="77" t="s">
        <v>69</v>
      </c>
      <c r="C81" s="71">
        <f>13479151</f>
        <v>13479151</v>
      </c>
      <c r="D81" s="71">
        <f>C81</f>
        <v>13479151</v>
      </c>
      <c r="E81" s="71">
        <f>D81</f>
        <v>13479151</v>
      </c>
      <c r="F81" s="110"/>
      <c r="H81" s="144">
        <v>36571004.490000002</v>
      </c>
      <c r="I81" s="145">
        <f>H81*0.1</f>
        <v>3657100.4490000005</v>
      </c>
    </row>
    <row r="82" spans="1:10" x14ac:dyDescent="0.2">
      <c r="A82" s="157">
        <v>3.2</v>
      </c>
      <c r="B82" s="165" t="s">
        <v>867</v>
      </c>
      <c r="C82" s="166"/>
      <c r="D82" s="166"/>
      <c r="E82" s="167"/>
    </row>
    <row r="83" spans="1:10" ht="60" x14ac:dyDescent="0.2">
      <c r="A83" s="159"/>
      <c r="B83" s="77" t="s">
        <v>70</v>
      </c>
      <c r="C83" s="76">
        <v>0</v>
      </c>
      <c r="D83" s="76">
        <v>0</v>
      </c>
      <c r="E83" s="76">
        <f t="shared" ref="E83:E93" si="3">C83-D83</f>
        <v>0</v>
      </c>
      <c r="F83" s="139">
        <v>677</v>
      </c>
      <c r="G83" s="139">
        <v>16565591.060000001</v>
      </c>
      <c r="H83" s="146">
        <f>I81</f>
        <v>3657100.4490000005</v>
      </c>
      <c r="I83" s="146">
        <f>G83-H83</f>
        <v>12908490.611</v>
      </c>
    </row>
    <row r="84" spans="1:10" x14ac:dyDescent="0.2">
      <c r="A84" s="157">
        <v>3.3</v>
      </c>
      <c r="B84" s="169" t="s">
        <v>46</v>
      </c>
      <c r="C84" s="170"/>
      <c r="D84" s="170"/>
      <c r="E84" s="171"/>
      <c r="F84" s="139">
        <v>575</v>
      </c>
      <c r="G84" s="139">
        <v>4227760.3499999996</v>
      </c>
      <c r="H84" s="144">
        <f>H83</f>
        <v>3657100.4490000005</v>
      </c>
      <c r="I84" s="146">
        <f>G84-H84</f>
        <v>570659.90099999914</v>
      </c>
      <c r="J84" s="123"/>
    </row>
    <row r="85" spans="1:10" ht="96" x14ac:dyDescent="0.2">
      <c r="A85" s="159"/>
      <c r="B85" s="97" t="s">
        <v>868</v>
      </c>
      <c r="C85" s="76">
        <v>0</v>
      </c>
      <c r="D85" s="76">
        <v>0</v>
      </c>
      <c r="E85" s="76">
        <f t="shared" si="3"/>
        <v>0</v>
      </c>
      <c r="H85" s="144"/>
      <c r="I85" s="146">
        <f>SUM(I83:I84)</f>
        <v>13479150.511999998</v>
      </c>
      <c r="J85" s="123"/>
    </row>
    <row r="86" spans="1:10" x14ac:dyDescent="0.2">
      <c r="A86" s="158"/>
      <c r="B86" s="97" t="s">
        <v>863</v>
      </c>
      <c r="C86" s="76">
        <v>0</v>
      </c>
      <c r="D86" s="76">
        <v>0</v>
      </c>
      <c r="E86" s="76">
        <f t="shared" si="3"/>
        <v>0</v>
      </c>
      <c r="G86" s="145"/>
    </row>
    <row r="87" spans="1:10" x14ac:dyDescent="0.2">
      <c r="A87" s="157">
        <v>3.4</v>
      </c>
      <c r="B87" s="169" t="s">
        <v>47</v>
      </c>
      <c r="C87" s="170"/>
      <c r="D87" s="170"/>
      <c r="E87" s="171"/>
    </row>
    <row r="88" spans="1:10" ht="24" x14ac:dyDescent="0.2">
      <c r="A88" s="158"/>
      <c r="B88" s="77" t="s">
        <v>48</v>
      </c>
      <c r="C88" s="76">
        <v>0</v>
      </c>
      <c r="D88" s="76">
        <v>0</v>
      </c>
      <c r="E88" s="76">
        <f t="shared" si="3"/>
        <v>0</v>
      </c>
      <c r="G88" s="138"/>
      <c r="H88" s="144"/>
      <c r="I88" s="146"/>
      <c r="J88" s="123"/>
    </row>
    <row r="89" spans="1:10" x14ac:dyDescent="0.2">
      <c r="A89" s="157">
        <v>3.5</v>
      </c>
      <c r="B89" s="169" t="s">
        <v>49</v>
      </c>
      <c r="C89" s="170"/>
      <c r="D89" s="170"/>
      <c r="E89" s="171"/>
    </row>
    <row r="90" spans="1:10" ht="36" x14ac:dyDescent="0.2">
      <c r="A90" s="158"/>
      <c r="B90" s="95" t="s">
        <v>100</v>
      </c>
      <c r="C90" s="76">
        <v>0</v>
      </c>
      <c r="D90" s="76">
        <v>0</v>
      </c>
      <c r="E90" s="76">
        <f t="shared" si="3"/>
        <v>0</v>
      </c>
      <c r="H90" s="144"/>
      <c r="I90" s="146"/>
      <c r="J90" s="123"/>
    </row>
    <row r="91" spans="1:10" x14ac:dyDescent="0.2">
      <c r="A91" s="69">
        <v>3.6</v>
      </c>
      <c r="B91" s="75" t="s">
        <v>50</v>
      </c>
      <c r="C91" s="76">
        <v>0</v>
      </c>
      <c r="D91" s="76">
        <v>0</v>
      </c>
      <c r="E91" s="76">
        <f t="shared" si="3"/>
        <v>0</v>
      </c>
      <c r="G91" s="146"/>
      <c r="J91" s="123"/>
    </row>
    <row r="92" spans="1:10" x14ac:dyDescent="0.2">
      <c r="A92" s="157">
        <v>3.7</v>
      </c>
      <c r="B92" s="165" t="s">
        <v>51</v>
      </c>
      <c r="C92" s="166"/>
      <c r="D92" s="166"/>
      <c r="E92" s="167"/>
    </row>
    <row r="93" spans="1:10" ht="64.5" customHeight="1" x14ac:dyDescent="0.2">
      <c r="A93" s="158"/>
      <c r="B93" s="77" t="s">
        <v>869</v>
      </c>
      <c r="C93" s="76">
        <v>0</v>
      </c>
      <c r="D93" s="76">
        <v>0</v>
      </c>
      <c r="E93" s="76">
        <f t="shared" si="3"/>
        <v>0</v>
      </c>
    </row>
    <row r="94" spans="1:10" x14ac:dyDescent="0.2">
      <c r="A94" s="157">
        <v>3.8</v>
      </c>
      <c r="B94" s="165" t="s">
        <v>52</v>
      </c>
      <c r="C94" s="166"/>
      <c r="D94" s="166"/>
      <c r="E94" s="167"/>
    </row>
    <row r="95" spans="1:10" ht="36" x14ac:dyDescent="0.2">
      <c r="A95" s="158"/>
      <c r="B95" s="77" t="s">
        <v>101</v>
      </c>
      <c r="C95" s="85">
        <v>137860</v>
      </c>
      <c r="D95" s="76">
        <f>C95*0.1</f>
        <v>13786</v>
      </c>
      <c r="E95" s="76">
        <f>D95</f>
        <v>13786</v>
      </c>
      <c r="G95" s="147"/>
      <c r="H95" s="145"/>
    </row>
    <row r="96" spans="1:10" x14ac:dyDescent="0.2">
      <c r="A96" s="157">
        <v>3.9</v>
      </c>
      <c r="B96" s="165" t="s">
        <v>53</v>
      </c>
      <c r="C96" s="166"/>
      <c r="D96" s="166"/>
      <c r="E96" s="167"/>
      <c r="G96" s="147"/>
    </row>
    <row r="97" spans="1:9" ht="40.5" customHeight="1" x14ac:dyDescent="0.25">
      <c r="A97" s="159"/>
      <c r="B97" s="77" t="s">
        <v>870</v>
      </c>
      <c r="C97" s="76">
        <v>0</v>
      </c>
      <c r="D97" s="76">
        <v>0</v>
      </c>
      <c r="E97" s="76">
        <f>C97-D97</f>
        <v>0</v>
      </c>
      <c r="F97" s="115"/>
      <c r="G97" s="148"/>
      <c r="H97" s="149"/>
      <c r="I97" s="146"/>
    </row>
    <row r="98" spans="1:9" ht="24" x14ac:dyDescent="0.25">
      <c r="A98" s="158"/>
      <c r="B98" s="77" t="s">
        <v>54</v>
      </c>
      <c r="C98" s="76">
        <v>0</v>
      </c>
      <c r="D98" s="76">
        <v>0</v>
      </c>
      <c r="E98" s="76">
        <f>C98-D98</f>
        <v>0</v>
      </c>
      <c r="F98" s="115"/>
      <c r="G98" s="148"/>
      <c r="H98" s="149"/>
      <c r="I98" s="146"/>
    </row>
    <row r="99" spans="1:9" ht="15" x14ac:dyDescent="0.25">
      <c r="A99" s="162">
        <v>3.1</v>
      </c>
      <c r="B99" s="172" t="s">
        <v>102</v>
      </c>
      <c r="C99" s="173"/>
      <c r="D99" s="173"/>
      <c r="E99" s="174"/>
      <c r="F99" s="115"/>
      <c r="G99" s="140"/>
      <c r="H99" s="140"/>
    </row>
    <row r="100" spans="1:9" ht="48" x14ac:dyDescent="0.25">
      <c r="A100" s="163"/>
      <c r="B100" s="77" t="s">
        <v>55</v>
      </c>
      <c r="C100" s="76">
        <v>0</v>
      </c>
      <c r="D100" s="76">
        <v>0</v>
      </c>
      <c r="E100" s="76">
        <f>C100-D100</f>
        <v>0</v>
      </c>
      <c r="F100" s="115"/>
      <c r="G100" s="148"/>
      <c r="H100" s="149"/>
      <c r="I100" s="146"/>
    </row>
    <row r="101" spans="1:9" ht="36" x14ac:dyDescent="0.2">
      <c r="A101" s="164"/>
      <c r="B101" s="77" t="s">
        <v>103</v>
      </c>
      <c r="C101" s="76">
        <v>0</v>
      </c>
      <c r="D101" s="76">
        <v>0</v>
      </c>
      <c r="E101" s="76">
        <f>C101-D101</f>
        <v>0</v>
      </c>
      <c r="I101" s="146"/>
    </row>
    <row r="102" spans="1:9" x14ac:dyDescent="0.2">
      <c r="A102" s="96">
        <v>3.11</v>
      </c>
      <c r="B102" s="98" t="s">
        <v>104</v>
      </c>
      <c r="C102" s="99">
        <f>SUM(C80:C101)</f>
        <v>13617011</v>
      </c>
      <c r="D102" s="104">
        <f>SUM(D80:D101)</f>
        <v>13492937</v>
      </c>
      <c r="E102" s="99">
        <f>SUM(E80:E101)</f>
        <v>13492937</v>
      </c>
    </row>
    <row r="103" spans="1:9" ht="12.75" thickBot="1" x14ac:dyDescent="0.25">
      <c r="A103" s="100"/>
      <c r="B103" s="101"/>
      <c r="C103" s="102">
        <f>C52-C78-C102</f>
        <v>31236597</v>
      </c>
      <c r="D103" s="103" t="s">
        <v>105</v>
      </c>
      <c r="E103" s="102">
        <f>E52-E78-E102</f>
        <v>18725446.25</v>
      </c>
    </row>
    <row r="104" spans="1:9" ht="12.75" thickTop="1" x14ac:dyDescent="0.2">
      <c r="A104" s="30"/>
      <c r="B104" s="31"/>
      <c r="C104" s="32"/>
      <c r="D104" s="33"/>
      <c r="E104" s="32"/>
    </row>
    <row r="105" spans="1:9" x14ac:dyDescent="0.2">
      <c r="A105" s="30"/>
      <c r="B105" s="31"/>
      <c r="C105" s="32"/>
      <c r="D105" s="33"/>
      <c r="E105" s="32"/>
    </row>
    <row r="106" spans="1:9" x14ac:dyDescent="0.2">
      <c r="A106" s="5" t="s">
        <v>56</v>
      </c>
      <c r="C106" s="6"/>
      <c r="D106" s="6"/>
      <c r="E106" s="6"/>
    </row>
    <row r="107" spans="1:9" x14ac:dyDescent="0.2">
      <c r="A107" s="6" t="s">
        <v>57</v>
      </c>
    </row>
    <row r="108" spans="1:9" x14ac:dyDescent="0.2">
      <c r="A108" s="6" t="s">
        <v>58</v>
      </c>
    </row>
    <row r="109" spans="1:9" x14ac:dyDescent="0.2">
      <c r="A109" s="6" t="s">
        <v>59</v>
      </c>
    </row>
    <row r="110" spans="1:9" ht="12" customHeight="1" x14ac:dyDescent="0.2">
      <c r="A110" s="5" t="s">
        <v>106</v>
      </c>
      <c r="B110" s="150" t="s">
        <v>107</v>
      </c>
      <c r="C110" s="151"/>
      <c r="D110" s="151"/>
      <c r="E110" s="151"/>
      <c r="F110" s="110"/>
    </row>
    <row r="111" spans="1:9" ht="12" customHeight="1" x14ac:dyDescent="0.2">
      <c r="A111" s="5"/>
      <c r="B111" s="150"/>
      <c r="C111" s="151"/>
      <c r="D111" s="151"/>
      <c r="E111" s="151"/>
    </row>
    <row r="112" spans="1:9" x14ac:dyDescent="0.2">
      <c r="B112" s="151"/>
      <c r="C112" s="151"/>
      <c r="D112" s="151"/>
      <c r="E112" s="151"/>
    </row>
    <row r="115" spans="2:2" ht="12.75" x14ac:dyDescent="0.2">
      <c r="B115" s="35" t="s">
        <v>865</v>
      </c>
    </row>
  </sheetData>
  <mergeCells count="34">
    <mergeCell ref="A94:A95"/>
    <mergeCell ref="B92:E92"/>
    <mergeCell ref="A96:A98"/>
    <mergeCell ref="B99:E99"/>
    <mergeCell ref="B82:E82"/>
    <mergeCell ref="B84:E84"/>
    <mergeCell ref="B87:E87"/>
    <mergeCell ref="B89:E89"/>
    <mergeCell ref="A6:E6"/>
    <mergeCell ref="A41:A47"/>
    <mergeCell ref="A48:A51"/>
    <mergeCell ref="A54:A57"/>
    <mergeCell ref="B80:E80"/>
    <mergeCell ref="A75:A77"/>
    <mergeCell ref="A38:A40"/>
    <mergeCell ref="A68:A74"/>
    <mergeCell ref="A36:A37"/>
    <mergeCell ref="A19:A23"/>
    <mergeCell ref="B110:E112"/>
    <mergeCell ref="A10:A18"/>
    <mergeCell ref="A25:A27"/>
    <mergeCell ref="A79:E79"/>
    <mergeCell ref="A53:E53"/>
    <mergeCell ref="A32:A33"/>
    <mergeCell ref="A58:A67"/>
    <mergeCell ref="A80:A81"/>
    <mergeCell ref="A82:A83"/>
    <mergeCell ref="A84:A86"/>
    <mergeCell ref="A87:A88"/>
    <mergeCell ref="A89:A90"/>
    <mergeCell ref="A92:A93"/>
    <mergeCell ref="A99:A101"/>
    <mergeCell ref="B94:E94"/>
    <mergeCell ref="B96:E96"/>
  </mergeCells>
  <pageMargins left="0.8" right="0.2" top="1" bottom="0.5" header="0.3" footer="0.3"/>
  <pageSetup paperSize="9" scale="80"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106"/>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topLeftCell="A463" workbookViewId="0">
      <selection activeCell="C480" sqref="C480"/>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8" x14ac:dyDescent="0.2">
      <c r="A465" s="39">
        <v>43098</v>
      </c>
      <c r="B465" s="38" t="s">
        <v>598</v>
      </c>
      <c r="C465" s="38">
        <v>60</v>
      </c>
      <c r="D465" s="38">
        <v>60</v>
      </c>
      <c r="E465" s="38">
        <v>0</v>
      </c>
      <c r="F465" s="38">
        <v>0</v>
      </c>
      <c r="G465" s="38">
        <v>10</v>
      </c>
      <c r="H465" s="38">
        <v>38150010</v>
      </c>
    </row>
    <row r="466" spans="1:8" x14ac:dyDescent="0.2">
      <c r="A466" s="39">
        <v>43098</v>
      </c>
      <c r="B466" s="38" t="s">
        <v>599</v>
      </c>
      <c r="C466" s="38">
        <v>60</v>
      </c>
      <c r="D466" s="38">
        <v>60</v>
      </c>
      <c r="E466" s="38">
        <v>47.8782</v>
      </c>
      <c r="F466" s="38">
        <v>0</v>
      </c>
      <c r="G466" s="38">
        <v>39.43</v>
      </c>
      <c r="H466" s="38">
        <v>1870000</v>
      </c>
    </row>
    <row r="467" spans="1:8" x14ac:dyDescent="0.2">
      <c r="A467" s="39">
        <v>43098</v>
      </c>
      <c r="B467" s="38" t="s">
        <v>600</v>
      </c>
      <c r="C467" s="38">
        <v>16</v>
      </c>
      <c r="D467" s="38">
        <v>22.5</v>
      </c>
      <c r="E467" s="38">
        <v>333.87970000000001</v>
      </c>
      <c r="F467" s="38">
        <v>0</v>
      </c>
      <c r="G467" s="38">
        <v>324.16000000000003</v>
      </c>
      <c r="H467" s="38">
        <v>25901715</v>
      </c>
    </row>
    <row r="468" spans="1:8" x14ac:dyDescent="0.2">
      <c r="A468" s="39">
        <v>43098</v>
      </c>
      <c r="B468" s="38" t="s">
        <v>601</v>
      </c>
      <c r="C468" s="38">
        <v>60</v>
      </c>
      <c r="D468" s="38">
        <v>60</v>
      </c>
      <c r="E468" s="38">
        <v>0</v>
      </c>
      <c r="F468" s="38">
        <v>0</v>
      </c>
      <c r="G468" s="38">
        <v>34.36</v>
      </c>
      <c r="H468" s="38">
        <v>780975</v>
      </c>
    </row>
    <row r="469" spans="1:8" x14ac:dyDescent="0.2">
      <c r="A469" s="39">
        <v>43098</v>
      </c>
      <c r="B469" s="38" t="s">
        <v>602</v>
      </c>
      <c r="C469" s="38">
        <v>10.5</v>
      </c>
      <c r="D469" s="38">
        <v>15</v>
      </c>
      <c r="E469" s="38">
        <v>52.878799999999998</v>
      </c>
      <c r="F469" s="38">
        <v>2</v>
      </c>
      <c r="G469" s="38">
        <v>48.56</v>
      </c>
    </row>
    <row r="470" spans="1:8" x14ac:dyDescent="0.2">
      <c r="A470" s="39">
        <v>43098</v>
      </c>
      <c r="B470" s="38" t="s">
        <v>603</v>
      </c>
      <c r="C470" s="38">
        <v>10.5</v>
      </c>
      <c r="D470" s="38">
        <v>15</v>
      </c>
      <c r="E470" s="38">
        <v>52.878799999999998</v>
      </c>
      <c r="F470" s="38">
        <v>2</v>
      </c>
      <c r="G470" s="38">
        <v>49.32</v>
      </c>
    </row>
    <row r="471" spans="1:8" x14ac:dyDescent="0.2">
      <c r="A471" s="39">
        <v>43098</v>
      </c>
      <c r="B471" s="38" t="s">
        <v>604</v>
      </c>
      <c r="C471" s="38">
        <v>10.5</v>
      </c>
      <c r="D471" s="38">
        <v>15</v>
      </c>
      <c r="E471" s="38">
        <v>52.878799999999998</v>
      </c>
      <c r="F471" s="38">
        <v>2</v>
      </c>
      <c r="G471" s="38">
        <v>48.93</v>
      </c>
    </row>
    <row r="472" spans="1:8" x14ac:dyDescent="0.2">
      <c r="A472" s="39">
        <v>43098</v>
      </c>
      <c r="B472" s="38" t="s">
        <v>605</v>
      </c>
      <c r="C472" s="38">
        <v>10.5</v>
      </c>
      <c r="D472" s="38">
        <v>15</v>
      </c>
      <c r="E472" s="38">
        <v>52.878799999999998</v>
      </c>
      <c r="F472" s="38">
        <v>2</v>
      </c>
      <c r="G472" s="38">
        <v>48.56</v>
      </c>
      <c r="H472" s="38">
        <v>506601096</v>
      </c>
    </row>
    <row r="473" spans="1:8" x14ac:dyDescent="0.2">
      <c r="A473" s="39">
        <v>43098</v>
      </c>
      <c r="B473" s="38" t="s">
        <v>606</v>
      </c>
      <c r="C473" s="38">
        <v>10.5</v>
      </c>
      <c r="D473" s="38">
        <v>15</v>
      </c>
      <c r="E473" s="38">
        <v>52.878799999999998</v>
      </c>
      <c r="F473" s="38">
        <v>2</v>
      </c>
      <c r="G473" s="38">
        <v>48.35</v>
      </c>
      <c r="H473" s="38">
        <v>506601096</v>
      </c>
    </row>
    <row r="474" spans="1:8" x14ac:dyDescent="0.2">
      <c r="A474" s="39">
        <v>43098</v>
      </c>
      <c r="B474" s="38" t="s">
        <v>607</v>
      </c>
      <c r="C474" s="38">
        <v>10.5</v>
      </c>
      <c r="D474" s="38">
        <v>15</v>
      </c>
      <c r="E474" s="38">
        <v>52.878799999999998</v>
      </c>
      <c r="F474" s="38">
        <v>2</v>
      </c>
      <c r="G474" s="38">
        <v>48.56</v>
      </c>
      <c r="H474" s="38">
        <v>506601096</v>
      </c>
    </row>
    <row r="475" spans="1:8" x14ac:dyDescent="0.2">
      <c r="A475" s="39">
        <v>43098</v>
      </c>
      <c r="B475" s="38" t="s">
        <v>608</v>
      </c>
      <c r="C475" s="38">
        <v>11</v>
      </c>
      <c r="D475" s="38">
        <v>15</v>
      </c>
      <c r="E475" s="38">
        <v>52.9863</v>
      </c>
      <c r="F475" s="38">
        <v>2</v>
      </c>
      <c r="G475" s="38">
        <v>45.77</v>
      </c>
    </row>
    <row r="476" spans="1:8" x14ac:dyDescent="0.2">
      <c r="A476" s="39">
        <v>43098</v>
      </c>
      <c r="B476" s="38" t="s">
        <v>609</v>
      </c>
      <c r="C476" s="38">
        <v>11</v>
      </c>
      <c r="D476" s="38">
        <v>15</v>
      </c>
      <c r="E476" s="38">
        <v>52.9863</v>
      </c>
      <c r="F476" s="38">
        <v>2</v>
      </c>
      <c r="G476" s="38">
        <v>46.48</v>
      </c>
    </row>
    <row r="477" spans="1:8" x14ac:dyDescent="0.2">
      <c r="A477" s="39">
        <v>43098</v>
      </c>
      <c r="B477" s="38" t="s">
        <v>610</v>
      </c>
      <c r="C477" s="38">
        <v>11</v>
      </c>
      <c r="D477" s="38">
        <v>15</v>
      </c>
      <c r="E477" s="38">
        <v>52.9863</v>
      </c>
      <c r="F477" s="38">
        <v>2</v>
      </c>
      <c r="G477" s="38">
        <v>46.12</v>
      </c>
    </row>
    <row r="478" spans="1:8" x14ac:dyDescent="0.2">
      <c r="A478" s="39">
        <v>43098</v>
      </c>
      <c r="B478" s="38" t="s">
        <v>611</v>
      </c>
      <c r="C478" s="38">
        <v>11</v>
      </c>
      <c r="D478" s="38">
        <v>15</v>
      </c>
      <c r="E478" s="38">
        <v>52.9863</v>
      </c>
      <c r="F478" s="38">
        <v>2</v>
      </c>
      <c r="G478" s="38">
        <v>45.77</v>
      </c>
      <c r="H478" s="38">
        <v>108099700</v>
      </c>
    </row>
    <row r="479" spans="1:8" x14ac:dyDescent="0.2">
      <c r="A479" s="39">
        <v>43098</v>
      </c>
      <c r="B479" s="38" t="s">
        <v>612</v>
      </c>
      <c r="C479" s="38">
        <v>11</v>
      </c>
      <c r="D479" s="38">
        <v>15</v>
      </c>
      <c r="E479" s="38">
        <v>52.9863</v>
      </c>
      <c r="F479" s="38">
        <v>2</v>
      </c>
      <c r="G479" s="38">
        <v>46.45</v>
      </c>
      <c r="H479" s="38">
        <v>108099700</v>
      </c>
    </row>
    <row r="480" spans="1:8"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6"/>
  <sheetViews>
    <sheetView workbookViewId="0">
      <selection activeCell="E22" sqref="E22"/>
    </sheetView>
  </sheetViews>
  <sheetFormatPr defaultRowHeight="15" x14ac:dyDescent="0.25"/>
  <cols>
    <col min="1" max="2" width="9.140625" style="120"/>
    <col min="3" max="3" width="9.28515625" style="121" bestFit="1" customWidth="1"/>
    <col min="4" max="4" width="14.28515625" style="120" bestFit="1" customWidth="1"/>
    <col min="5" max="6" width="14.28515625" style="120" customWidth="1"/>
    <col min="7" max="8" width="14.28515625" style="120" bestFit="1" customWidth="1"/>
    <col min="9" max="9" width="15" style="120" bestFit="1" customWidth="1"/>
    <col min="10" max="16384" width="9.140625" style="120"/>
  </cols>
  <sheetData>
    <row r="2" spans="3:9" ht="15.75" thickBot="1" x14ac:dyDescent="0.3">
      <c r="C2" s="121" t="s">
        <v>874</v>
      </c>
    </row>
    <row r="3" spans="3:9" x14ac:dyDescent="0.25">
      <c r="C3" s="128"/>
      <c r="D3" s="129" t="s">
        <v>877</v>
      </c>
      <c r="E3" s="129" t="s">
        <v>881</v>
      </c>
      <c r="F3" s="129" t="s">
        <v>878</v>
      </c>
      <c r="G3" s="130" t="s">
        <v>879</v>
      </c>
      <c r="H3" s="120" t="s">
        <v>880</v>
      </c>
    </row>
    <row r="4" spans="3:9" x14ac:dyDescent="0.25">
      <c r="C4" s="131">
        <v>1</v>
      </c>
      <c r="D4" s="132">
        <v>12011</v>
      </c>
      <c r="E4" s="132"/>
      <c r="F4" s="132"/>
      <c r="G4" s="133"/>
    </row>
    <row r="5" spans="3:9" x14ac:dyDescent="0.25">
      <c r="C5" s="131">
        <v>2</v>
      </c>
      <c r="D5" s="132">
        <v>200514</v>
      </c>
      <c r="E5" s="132"/>
      <c r="F5" s="132"/>
      <c r="G5" s="133">
        <v>200479</v>
      </c>
    </row>
    <row r="6" spans="3:9" x14ac:dyDescent="0.25">
      <c r="C6" s="131">
        <v>3</v>
      </c>
      <c r="D6" s="132">
        <v>335726</v>
      </c>
      <c r="E6" s="132"/>
      <c r="F6" s="132"/>
      <c r="G6" s="133">
        <v>138484</v>
      </c>
    </row>
    <row r="7" spans="3:9" x14ac:dyDescent="0.25">
      <c r="C7" s="131">
        <v>148</v>
      </c>
      <c r="D7" s="132">
        <v>4884648</v>
      </c>
      <c r="E7" s="132"/>
      <c r="F7" s="132"/>
      <c r="G7" s="133">
        <v>766073</v>
      </c>
      <c r="H7" s="120">
        <v>1320815</v>
      </c>
      <c r="I7" s="120">
        <f>D7-H7</f>
        <v>3563833</v>
      </c>
    </row>
    <row r="8" spans="3:9" x14ac:dyDescent="0.25">
      <c r="C8" s="131">
        <v>191</v>
      </c>
      <c r="D8" s="132">
        <v>12849</v>
      </c>
      <c r="E8" s="132"/>
      <c r="F8" s="132"/>
      <c r="G8" s="133"/>
    </row>
    <row r="9" spans="3:9" x14ac:dyDescent="0.25">
      <c r="C9" s="131">
        <v>199</v>
      </c>
      <c r="D9" s="132">
        <v>5480223</v>
      </c>
      <c r="E9" s="132">
        <v>3913816</v>
      </c>
      <c r="F9" s="132">
        <v>1566407</v>
      </c>
      <c r="G9" s="133">
        <v>1871763</v>
      </c>
      <c r="H9" s="120">
        <v>3014050</v>
      </c>
      <c r="I9" s="120">
        <f>D9-H9</f>
        <v>2466173</v>
      </c>
    </row>
    <row r="10" spans="3:9" x14ac:dyDescent="0.25">
      <c r="C10" s="131">
        <v>280</v>
      </c>
      <c r="D10" s="132">
        <v>24735699</v>
      </c>
      <c r="E10" s="132"/>
      <c r="F10" s="132"/>
      <c r="G10" s="133">
        <v>2109790</v>
      </c>
      <c r="H10" s="120">
        <v>4534135</v>
      </c>
      <c r="I10" s="120">
        <f>D10-H10</f>
        <v>20201564</v>
      </c>
    </row>
    <row r="11" spans="3:9" x14ac:dyDescent="0.25">
      <c r="C11" s="131">
        <v>281</v>
      </c>
      <c r="D11" s="132">
        <v>19615599</v>
      </c>
      <c r="E11" s="132"/>
      <c r="F11" s="132"/>
      <c r="G11" s="133">
        <v>13904205</v>
      </c>
      <c r="H11" s="120">
        <v>18538940</v>
      </c>
    </row>
    <row r="12" spans="3:9" x14ac:dyDescent="0.25">
      <c r="C12" s="131">
        <v>380</v>
      </c>
      <c r="D12" s="132">
        <v>1902502</v>
      </c>
      <c r="E12" s="132"/>
      <c r="F12" s="132"/>
      <c r="G12" s="133">
        <v>147190</v>
      </c>
      <c r="H12" s="120">
        <v>367975</v>
      </c>
    </row>
    <row r="13" spans="3:9" x14ac:dyDescent="0.25">
      <c r="C13" s="131">
        <v>381</v>
      </c>
      <c r="D13" s="132">
        <v>653015</v>
      </c>
      <c r="E13" s="132"/>
      <c r="F13" s="132"/>
      <c r="G13" s="133">
        <v>653015</v>
      </c>
      <c r="H13" s="120">
        <v>14492705</v>
      </c>
    </row>
    <row r="14" spans="3:9" x14ac:dyDescent="0.25">
      <c r="C14" s="131">
        <v>382</v>
      </c>
      <c r="D14" s="132">
        <v>297682</v>
      </c>
      <c r="E14" s="132"/>
      <c r="F14" s="132"/>
      <c r="G14" s="133"/>
    </row>
    <row r="15" spans="3:9" x14ac:dyDescent="0.25">
      <c r="C15" s="131">
        <v>383</v>
      </c>
      <c r="D15" s="132">
        <v>1096415</v>
      </c>
      <c r="E15" s="132"/>
      <c r="F15" s="132"/>
      <c r="G15" s="133"/>
    </row>
    <row r="16" spans="3:9" x14ac:dyDescent="0.25">
      <c r="C16" s="131">
        <v>575</v>
      </c>
      <c r="D16" s="132">
        <v>2260005</v>
      </c>
      <c r="E16" s="132"/>
      <c r="F16" s="132"/>
      <c r="G16" s="133">
        <v>5777724</v>
      </c>
      <c r="H16" s="120">
        <v>13271520</v>
      </c>
    </row>
    <row r="17" spans="3:9" x14ac:dyDescent="0.25">
      <c r="C17" s="131" t="s">
        <v>873</v>
      </c>
      <c r="D17" s="132">
        <v>1700</v>
      </c>
      <c r="E17" s="132"/>
      <c r="F17" s="132"/>
      <c r="G17" s="133"/>
    </row>
    <row r="18" spans="3:9" ht="15.75" thickBot="1" x14ac:dyDescent="0.3">
      <c r="C18" s="134"/>
      <c r="D18" s="135">
        <f>SUM(D7:D17)</f>
        <v>60940337</v>
      </c>
      <c r="E18" s="135">
        <f>SUM(E7:E17)</f>
        <v>3913816</v>
      </c>
      <c r="F18" s="135">
        <f>SUM(F7:F17)</f>
        <v>1566407</v>
      </c>
      <c r="G18" s="136">
        <f t="shared" ref="G18:H18" si="0">SUM(G5:G17)</f>
        <v>25568723</v>
      </c>
      <c r="H18" s="120">
        <f t="shared" si="0"/>
        <v>55540140</v>
      </c>
      <c r="I18" s="120">
        <f>D18-H18</f>
        <v>5400197</v>
      </c>
    </row>
    <row r="20" spans="3:9" x14ac:dyDescent="0.25">
      <c r="I20" s="120">
        <f>I18-I7-I9</f>
        <v>-629809</v>
      </c>
    </row>
    <row r="21" spans="3:9" x14ac:dyDescent="0.25">
      <c r="C21" s="121">
        <v>149</v>
      </c>
      <c r="I21" s="120">
        <f>2500000</f>
        <v>2500000</v>
      </c>
    </row>
    <row r="22" spans="3:9" x14ac:dyDescent="0.25">
      <c r="C22" s="121">
        <v>200</v>
      </c>
      <c r="I22" s="120">
        <v>5800000</v>
      </c>
    </row>
    <row r="23" spans="3:9" x14ac:dyDescent="0.25">
      <c r="C23" s="121">
        <v>266</v>
      </c>
      <c r="I23" s="120">
        <v>1050000</v>
      </c>
    </row>
    <row r="24" spans="3:9" x14ac:dyDescent="0.25">
      <c r="C24" s="121">
        <v>279</v>
      </c>
      <c r="I24" s="120">
        <v>2100000</v>
      </c>
    </row>
    <row r="25" spans="3:9" x14ac:dyDescent="0.25">
      <c r="I25" s="120">
        <f>SUM(I20:I24)</f>
        <v>10820191</v>
      </c>
    </row>
    <row r="26" spans="3:9" x14ac:dyDescent="0.25">
      <c r="I26" s="120">
        <v>-2000000</v>
      </c>
    </row>
    <row r="27" spans="3:9" x14ac:dyDescent="0.25">
      <c r="I27" s="120">
        <f>SUM(I25:I26)</f>
        <v>8820191</v>
      </c>
    </row>
    <row r="28" spans="3:9" x14ac:dyDescent="0.25">
      <c r="I28" s="120">
        <v>55000000</v>
      </c>
    </row>
    <row r="29" spans="3:9" x14ac:dyDescent="0.25">
      <c r="I29" s="120">
        <f>I28-I27</f>
        <v>46179809</v>
      </c>
    </row>
    <row r="30" spans="3:9" x14ac:dyDescent="0.25">
      <c r="I30" s="124">
        <v>4100000</v>
      </c>
    </row>
    <row r="31" spans="3:9" x14ac:dyDescent="0.25">
      <c r="I31" s="125">
        <v>7800000</v>
      </c>
    </row>
    <row r="32" spans="3:9" x14ac:dyDescent="0.25">
      <c r="I32" s="126">
        <f>2500000-500000</f>
        <v>2000000</v>
      </c>
    </row>
    <row r="33" spans="9:9" x14ac:dyDescent="0.25">
      <c r="I33" s="120">
        <f>SUM(I30:I32)</f>
        <v>13900000</v>
      </c>
    </row>
    <row r="34" spans="9:9" ht="15.75" thickBot="1" x14ac:dyDescent="0.3">
      <c r="I34" s="127">
        <f>I29-I33</f>
        <v>32279809</v>
      </c>
    </row>
    <row r="35" spans="9:9" ht="15.75" thickTop="1" x14ac:dyDescent="0.25">
      <c r="I35" s="120">
        <v>1500000</v>
      </c>
    </row>
    <row r="36" spans="9:9" x14ac:dyDescent="0.25">
      <c r="I36" s="120">
        <f>I34-I35</f>
        <v>30779809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Liquid Capital</vt:lpstr>
      <vt:lpstr>1.5 &amp; 3.8</vt:lpstr>
      <vt:lpstr>var_margin</vt:lpstr>
      <vt:lpstr>Sheet1</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2020-12-15T06:09:33Z</dcterms:modified>
</cp:coreProperties>
</file>