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315" windowHeight="7995" activeTab="1"/>
  </bookViews>
  <sheets>
    <sheet name="SOFP" sheetId="1" r:id="rId1"/>
    <sheet name="SOCI" sheetId="2" r:id="rId2"/>
    <sheet name="Notes" sheetId="7" r:id="rId3"/>
    <sheet name="Cash Flow" sheetId="3" r:id="rId4"/>
    <sheet name="SOCIE" sheetId="4" r:id="rId5"/>
    <sheet name="FA Schedule." sheetId="5" r:id="rId6"/>
    <sheet name="NCB" sheetId="6" r:id="rId7"/>
  </sheets>
  <calcPr calcId="125725"/>
</workbook>
</file>

<file path=xl/calcChain.xml><?xml version="1.0" encoding="utf-8"?>
<calcChain xmlns="http://schemas.openxmlformats.org/spreadsheetml/2006/main">
  <c r="F21" i="2"/>
  <c r="F28"/>
  <c r="F26"/>
  <c r="F17"/>
  <c r="D45" i="1"/>
  <c r="D54"/>
  <c r="D6" i="7"/>
  <c r="F32" i="2" l="1"/>
  <c r="D15" i="1"/>
  <c r="D24"/>
  <c r="D56"/>
  <c r="D46"/>
  <c r="J15" i="5"/>
  <c r="J16"/>
  <c r="J17"/>
  <c r="J14"/>
  <c r="J40" i="3"/>
  <c r="J34"/>
  <c r="J49"/>
  <c r="J15"/>
  <c r="F42" i="2" l="1"/>
  <c r="D26" i="1"/>
  <c r="F38" i="2"/>
  <c r="F12"/>
  <c r="F46" l="1"/>
  <c r="I23" i="6"/>
  <c r="I18"/>
  <c r="I16"/>
  <c r="I22"/>
  <c r="I17"/>
  <c r="F49" i="2" l="1"/>
  <c r="K20" i="6"/>
  <c r="K24"/>
  <c r="K26" l="1"/>
  <c r="K15" i="5"/>
  <c r="K16"/>
  <c r="K17"/>
  <c r="K14"/>
  <c r="H18"/>
  <c r="J18" l="1"/>
  <c r="K18"/>
  <c r="G12" i="4"/>
  <c r="G16" s="1"/>
  <c r="J44" i="3"/>
  <c r="I12" i="4" l="1"/>
  <c r="J37" i="3"/>
  <c r="J9" l="1"/>
  <c r="F51" i="2"/>
  <c r="J7" i="3" l="1"/>
  <c r="F57" i="2"/>
  <c r="D36" i="1" l="1"/>
  <c r="D39" s="1"/>
  <c r="D59" s="1"/>
  <c r="J11" i="3"/>
  <c r="J18" s="1"/>
  <c r="J22" s="1"/>
  <c r="J46" s="1"/>
  <c r="J50" s="1"/>
  <c r="M49" s="1"/>
  <c r="H14" i="4"/>
  <c r="I14" l="1"/>
  <c r="I16" s="1"/>
  <c r="H16"/>
</calcChain>
</file>

<file path=xl/sharedStrings.xml><?xml version="1.0" encoding="utf-8"?>
<sst xmlns="http://schemas.openxmlformats.org/spreadsheetml/2006/main" count="162" uniqueCount="143">
  <si>
    <t>Non Current Assets</t>
  </si>
  <si>
    <t>Long Term Investment</t>
  </si>
  <si>
    <t>Trading Rights</t>
  </si>
  <si>
    <t>Vehicle</t>
  </si>
  <si>
    <t>Computer Equipment</t>
  </si>
  <si>
    <t>Office Equipment</t>
  </si>
  <si>
    <t>Security Deposit</t>
  </si>
  <si>
    <t>Furnitue and Fixture</t>
  </si>
  <si>
    <t>Current Assets</t>
  </si>
  <si>
    <t>Loan to Employee</t>
  </si>
  <si>
    <t>Advance Tax</t>
  </si>
  <si>
    <t>Account Receiveable</t>
  </si>
  <si>
    <t xml:space="preserve">Deposit against Exposure </t>
  </si>
  <si>
    <t>Cash &amp; Bank</t>
  </si>
  <si>
    <t>Petty Cash</t>
  </si>
  <si>
    <t>EQUITY AND LIABILITIES</t>
  </si>
  <si>
    <t>ASSETS</t>
  </si>
  <si>
    <t>Capital and Reserves</t>
  </si>
  <si>
    <t>Sponsors Loan</t>
  </si>
  <si>
    <t xml:space="preserve">Provident Fund </t>
  </si>
  <si>
    <t>Non-Current Liabilities</t>
  </si>
  <si>
    <t>Current Liabilities</t>
  </si>
  <si>
    <t>Withholding Tax</t>
  </si>
  <si>
    <t>Trading Tax</t>
  </si>
  <si>
    <t>Capital gain Tax</t>
  </si>
  <si>
    <t>Share capital</t>
  </si>
  <si>
    <t>20000000 Ordinary Shares of Rs. 10 each issued for cash</t>
  </si>
  <si>
    <t xml:space="preserve">Authorised Capital </t>
  </si>
  <si>
    <t>Issued Subscribed and Paid up capital</t>
  </si>
  <si>
    <t>5100000 Ordinary Shares of Rs. 10 each issued for cash</t>
  </si>
  <si>
    <t xml:space="preserve">Statement of profit or Loss and Other comprehensive income </t>
  </si>
  <si>
    <t>Income</t>
  </si>
  <si>
    <t>Brokerage Income</t>
  </si>
  <si>
    <t>Expenses</t>
  </si>
  <si>
    <t>Other Income</t>
  </si>
  <si>
    <t xml:space="preserve">Administrative </t>
  </si>
  <si>
    <t xml:space="preserve">Travelling </t>
  </si>
  <si>
    <t>Communication</t>
  </si>
  <si>
    <t>Printing</t>
  </si>
  <si>
    <t>Entertainment</t>
  </si>
  <si>
    <t>Reapair and Maintenance</t>
  </si>
  <si>
    <t>Internet</t>
  </si>
  <si>
    <t>Operating</t>
  </si>
  <si>
    <t>CDC Charges</t>
  </si>
  <si>
    <t>NCCPL</t>
  </si>
  <si>
    <t>LAGA Charges</t>
  </si>
  <si>
    <t>Financial</t>
  </si>
  <si>
    <t>Profit/Loss before tax</t>
  </si>
  <si>
    <t>Tax</t>
  </si>
  <si>
    <t>Commissions</t>
  </si>
  <si>
    <t>Salaries</t>
  </si>
  <si>
    <t>Profit after Tax</t>
  </si>
  <si>
    <t>Total Expenses</t>
  </si>
  <si>
    <t>Retained Earnings</t>
  </si>
  <si>
    <t>A.N. Equities (Pvt) Ltd.</t>
  </si>
  <si>
    <t>Total assets</t>
  </si>
  <si>
    <t>Contingencies and Commitments</t>
  </si>
  <si>
    <t>CASH FLOW STATEMENT</t>
  </si>
  <si>
    <t>Cash flow from operating activities</t>
  </si>
  <si>
    <t>Rupees</t>
  </si>
  <si>
    <t>Adjustment for depreciation</t>
  </si>
  <si>
    <t>Profit before working capital changes</t>
  </si>
  <si>
    <t>Effect on cash flow due to working capital changes</t>
  </si>
  <si>
    <t>Accrued and other liabilities</t>
  </si>
  <si>
    <t>Cash generated from operating activities</t>
  </si>
  <si>
    <t>Income tax paid</t>
  </si>
  <si>
    <t>Net cash generated from operating activities</t>
  </si>
  <si>
    <t>Cash flow from investing activities</t>
  </si>
  <si>
    <t>Fixed capital expenditure</t>
  </si>
  <si>
    <t xml:space="preserve">Trading Right Entitlement Certificate </t>
  </si>
  <si>
    <t>Long term investment</t>
  </si>
  <si>
    <t>Security deposit</t>
  </si>
  <si>
    <t>Net cash used in investing activities</t>
  </si>
  <si>
    <t>Net cash generated from financing activities</t>
  </si>
  <si>
    <t>Share capital issued</t>
  </si>
  <si>
    <r>
      <t xml:space="preserve">Cash and cash equivalents </t>
    </r>
    <r>
      <rPr>
        <sz val="11"/>
        <color indexed="8"/>
        <rFont val="Arial"/>
        <family val="2"/>
      </rPr>
      <t>- at begining of the period</t>
    </r>
  </si>
  <si>
    <r>
      <t xml:space="preserve">Cash and cash equivalents </t>
    </r>
    <r>
      <rPr>
        <sz val="11"/>
        <color indexed="8"/>
        <rFont val="Arial"/>
        <family val="2"/>
      </rPr>
      <t>- at end of the period</t>
    </r>
  </si>
  <si>
    <t>The annexed notes form an integral part of these financial statements.</t>
  </si>
  <si>
    <t>Profit for the period - before taxation</t>
  </si>
  <si>
    <t xml:space="preserve">  Long term loan</t>
  </si>
  <si>
    <t xml:space="preserve">  Sponsors Loan</t>
  </si>
  <si>
    <t>Net Cash increase/decrease</t>
  </si>
  <si>
    <t>Trade Payables</t>
  </si>
  <si>
    <t xml:space="preserve">  Net Account Receiveable &amp; Payable</t>
  </si>
  <si>
    <t>STATEMENT OF CHANGES IN EQUITY</t>
  </si>
  <si>
    <t>for the year ended September, 30 2016</t>
  </si>
  <si>
    <t>Total</t>
  </si>
  <si>
    <t>----------------- Rupees -----------------</t>
  </si>
  <si>
    <t>Balance as at 1st July 2015</t>
  </si>
  <si>
    <t>Balance as at June 30, 2015</t>
  </si>
  <si>
    <t>Chief Executive</t>
  </si>
  <si>
    <t>Director</t>
  </si>
  <si>
    <t>Accumulated loss/Profit</t>
  </si>
  <si>
    <t>Profit for the period ended September 30, 2016</t>
  </si>
  <si>
    <t>Particular</t>
  </si>
  <si>
    <t>Depreciation</t>
  </si>
  <si>
    <t>Rate
%</t>
  </si>
  <si>
    <t xml:space="preserve"> - - - - Rupees - - - -</t>
  </si>
  <si>
    <t>Furniture</t>
  </si>
  <si>
    <t>Vehicles</t>
  </si>
  <si>
    <t>Fixed Asset Schedule</t>
  </si>
  <si>
    <t>STATEMENT UNDER RULE 2(d) OF SECURITIES AND EXCHANGE COMMISSION RULES, 1971 NET CAPITAL BALANCE AS AT DECEMBER 31, 2015.</t>
  </si>
  <si>
    <t>CURRENT ASSETS</t>
  </si>
  <si>
    <t>Cash-in-hand or in bank:</t>
  </si>
  <si>
    <t>CURRENT LIABILITIES</t>
  </si>
  <si>
    <t>NET CAPITAL BALANCE</t>
  </si>
  <si>
    <t xml:space="preserve">  Trade Payables</t>
  </si>
  <si>
    <t>Trade Receiveables</t>
  </si>
  <si>
    <t>Other Receiveables</t>
  </si>
  <si>
    <t>Other comprehensive income</t>
  </si>
  <si>
    <t>Total Comprehensive income</t>
  </si>
  <si>
    <t>Miscelinious</t>
  </si>
  <si>
    <t>Gain on investments</t>
  </si>
  <si>
    <t>fee and Subscription</t>
  </si>
  <si>
    <t>Members loan</t>
  </si>
  <si>
    <t>Professional charges</t>
  </si>
  <si>
    <t>LSE Financial service Room charges</t>
  </si>
  <si>
    <t xml:space="preserve"> </t>
  </si>
  <si>
    <t>For the Quarter December 30, 2016</t>
  </si>
  <si>
    <t>Accrued Liabilities</t>
  </si>
  <si>
    <t>Members Loan</t>
  </si>
  <si>
    <t>Statement of Financial position as at June 30, 2017</t>
  </si>
  <si>
    <t>for the quarter ended June 30, 2017</t>
  </si>
  <si>
    <t>Fuel</t>
  </si>
  <si>
    <t>Courier charges</t>
  </si>
  <si>
    <t>Sui Gas</t>
  </si>
  <si>
    <t>Office rent</t>
  </si>
  <si>
    <t>Mark up on Loans</t>
  </si>
  <si>
    <t>Cost as at July 01, 2016</t>
  </si>
  <si>
    <t>Book value as
 at December 30, 2017</t>
  </si>
  <si>
    <t>Total Turnover</t>
  </si>
  <si>
    <t>Quantity</t>
  </si>
  <si>
    <t>Institutional</t>
  </si>
  <si>
    <t>Retail</t>
  </si>
  <si>
    <t>Proprietary</t>
  </si>
  <si>
    <t>Nill</t>
  </si>
  <si>
    <t>Rs.</t>
  </si>
  <si>
    <t>Customer Assets Held in designated bank account</t>
  </si>
  <si>
    <t>Customer Assets Held in Central Depository system</t>
  </si>
  <si>
    <t>Dividend Income</t>
  </si>
  <si>
    <t>Pledged securities</t>
  </si>
  <si>
    <t> 4,626,000</t>
  </si>
  <si>
    <t>Financial Charges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</si>
</sst>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409]d\-mmm\-yy;@"/>
    <numFmt numFmtId="165" formatCode="#,##0.0"/>
    <numFmt numFmtId="166" formatCode="#,##0;\(\,##0\)"/>
    <numFmt numFmtId="167" formatCode="_(* #,##0_);_(* \(#,##0\);_(* &quot;-&quot;??_);_(@_)"/>
    <numFmt numFmtId="168" formatCode="0."/>
    <numFmt numFmtId="169" formatCode="#,##0;\(#,##0\)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8"/>
      <name val="Arial"/>
      <family val="2"/>
    </font>
    <font>
      <b/>
      <u/>
      <sz val="13"/>
      <color indexed="8"/>
      <name val="Arial"/>
      <family val="2"/>
    </font>
    <font>
      <b/>
      <u/>
      <sz val="11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sz val="12"/>
      <name val="Times New Roman"/>
      <family val="1"/>
    </font>
    <font>
      <b/>
      <u/>
      <sz val="11"/>
      <name val="Arial"/>
      <family val="2"/>
    </font>
    <font>
      <b/>
      <sz val="11"/>
      <color theme="5"/>
      <name val="Arial"/>
      <family val="2"/>
    </font>
    <font>
      <b/>
      <sz val="10"/>
      <color theme="5"/>
      <name val="Arial"/>
      <family val="2"/>
    </font>
    <font>
      <sz val="11"/>
      <color theme="5"/>
      <name val="Arial"/>
      <family val="2"/>
    </font>
    <font>
      <sz val="10"/>
      <color theme="5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5" fontId="6" fillId="0" borderId="0"/>
    <xf numFmtId="37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3" fontId="6" fillId="0" borderId="0"/>
    <xf numFmtId="0" fontId="6" fillId="0" borderId="0"/>
  </cellStyleXfs>
  <cellXfs count="21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40" fontId="0" fillId="0" borderId="0" xfId="0" applyNumberFormat="1"/>
    <xf numFmtId="40" fontId="1" fillId="0" borderId="0" xfId="0" applyNumberFormat="1" applyFont="1"/>
    <xf numFmtId="40" fontId="1" fillId="0" borderId="2" xfId="0" applyNumberFormat="1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0" fontId="0" fillId="0" borderId="3" xfId="0" applyNumberFormat="1" applyBorder="1"/>
    <xf numFmtId="0" fontId="3" fillId="2" borderId="0" xfId="0" applyFont="1" applyFill="1" applyAlignment="1">
      <alignment horizontal="left"/>
    </xf>
    <xf numFmtId="40" fontId="5" fillId="0" borderId="1" xfId="0" applyNumberFormat="1" applyFont="1" applyBorder="1"/>
    <xf numFmtId="0" fontId="4" fillId="2" borderId="0" xfId="0" applyFont="1" applyFill="1"/>
    <xf numFmtId="0" fontId="1" fillId="2" borderId="0" xfId="0" applyFont="1" applyFill="1"/>
    <xf numFmtId="0" fontId="4" fillId="2" borderId="0" xfId="0" applyFont="1" applyFill="1" applyAlignment="1"/>
    <xf numFmtId="0" fontId="0" fillId="2" borderId="0" xfId="0" applyFill="1"/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ill="1"/>
    <xf numFmtId="40" fontId="4" fillId="2" borderId="0" xfId="0" applyNumberFormat="1" applyFont="1" applyFill="1" applyAlignment="1"/>
    <xf numFmtId="40" fontId="4" fillId="2" borderId="0" xfId="0" applyNumberFormat="1" applyFont="1" applyFill="1"/>
    <xf numFmtId="40" fontId="5" fillId="0" borderId="4" xfId="0" applyNumberFormat="1" applyFont="1" applyBorder="1"/>
    <xf numFmtId="164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40" fontId="4" fillId="0" borderId="0" xfId="0" applyNumberFormat="1" applyFont="1" applyFill="1"/>
    <xf numFmtId="40" fontId="0" fillId="2" borderId="0" xfId="0" applyNumberFormat="1" applyFill="1"/>
    <xf numFmtId="0" fontId="3" fillId="0" borderId="0" xfId="0" applyFont="1" applyFill="1" applyAlignment="1">
      <alignment horizontal="left"/>
    </xf>
    <xf numFmtId="40" fontId="1" fillId="0" borderId="0" xfId="0" applyNumberFormat="1" applyFont="1" applyBorder="1"/>
    <xf numFmtId="166" fontId="9" fillId="3" borderId="0" xfId="1" applyNumberFormat="1" applyFont="1" applyFill="1" applyAlignment="1">
      <alignment horizontal="center"/>
    </xf>
    <xf numFmtId="167" fontId="9" fillId="3" borderId="0" xfId="1" applyNumberFormat="1" applyFont="1" applyFill="1" applyAlignment="1">
      <alignment horizontal="center"/>
    </xf>
    <xf numFmtId="0" fontId="10" fillId="0" borderId="0" xfId="0" applyNumberFormat="1" applyFont="1" applyFill="1"/>
    <xf numFmtId="166" fontId="11" fillId="3" borderId="0" xfId="1" applyNumberFormat="1" applyFont="1" applyFill="1"/>
    <xf numFmtId="167" fontId="11" fillId="3" borderId="0" xfId="2" applyNumberFormat="1" applyFont="1" applyFill="1"/>
    <xf numFmtId="166" fontId="11" fillId="3" borderId="0" xfId="1" applyNumberFormat="1" applyFont="1" applyFill="1" applyAlignment="1">
      <alignment horizontal="center"/>
    </xf>
    <xf numFmtId="167" fontId="12" fillId="0" borderId="0" xfId="3" applyNumberFormat="1" applyFont="1" applyAlignment="1">
      <alignment horizontal="center"/>
    </xf>
    <xf numFmtId="166" fontId="13" fillId="3" borderId="0" xfId="1" applyNumberFormat="1" applyFont="1" applyFill="1" applyAlignment="1">
      <alignment horizontal="left" indent="1"/>
    </xf>
    <xf numFmtId="167" fontId="12" fillId="0" borderId="0" xfId="3" applyNumberFormat="1" applyFont="1" applyAlignment="1">
      <alignment horizontal="right"/>
    </xf>
    <xf numFmtId="0" fontId="12" fillId="0" borderId="0" xfId="0" applyFont="1" applyFill="1"/>
    <xf numFmtId="167" fontId="12" fillId="0" borderId="2" xfId="4" applyNumberFormat="1" applyFont="1" applyBorder="1" applyAlignment="1">
      <alignment horizontal="right" vertical="center"/>
    </xf>
    <xf numFmtId="167" fontId="0" fillId="0" borderId="0" xfId="0" applyNumberFormat="1"/>
    <xf numFmtId="37" fontId="11" fillId="3" borderId="0" xfId="1" applyNumberFormat="1" applyFont="1" applyFill="1"/>
    <xf numFmtId="167" fontId="11" fillId="3" borderId="0" xfId="2" quotePrefix="1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 indent="1"/>
    </xf>
    <xf numFmtId="167" fontId="11" fillId="3" borderId="0" xfId="2" quotePrefix="1" applyNumberFormat="1" applyFont="1" applyFill="1" applyBorder="1" applyAlignment="1">
      <alignment horizontal="right" vertical="center"/>
    </xf>
    <xf numFmtId="167" fontId="11" fillId="3" borderId="2" xfId="2" applyNumberFormat="1" applyFont="1" applyFill="1" applyBorder="1" applyAlignment="1">
      <alignment horizontal="right"/>
    </xf>
    <xf numFmtId="166" fontId="11" fillId="3" borderId="0" xfId="1" applyNumberFormat="1" applyFont="1" applyFill="1" applyAlignment="1">
      <alignment vertical="center"/>
    </xf>
    <xf numFmtId="167" fontId="11" fillId="3" borderId="0" xfId="2" applyNumberFormat="1" applyFont="1" applyFill="1" applyBorder="1" applyAlignment="1">
      <alignment horizontal="right"/>
    </xf>
    <xf numFmtId="0" fontId="14" fillId="0" borderId="0" xfId="3" applyFont="1" applyAlignment="1">
      <alignment horizontal="left" indent="1"/>
    </xf>
    <xf numFmtId="0" fontId="12" fillId="0" borderId="0" xfId="0" applyNumberFormat="1" applyFont="1" applyFill="1"/>
    <xf numFmtId="167" fontId="11" fillId="3" borderId="2" xfId="2" applyNumberFormat="1" applyFont="1" applyFill="1" applyBorder="1" applyAlignment="1">
      <alignment horizontal="right" vertical="center"/>
    </xf>
    <xf numFmtId="0" fontId="10" fillId="0" borderId="0" xfId="0" applyFont="1" applyFill="1"/>
    <xf numFmtId="167" fontId="11" fillId="3" borderId="6" xfId="2" applyNumberFormat="1" applyFont="1" applyFill="1" applyBorder="1" applyAlignment="1">
      <alignment horizontal="right"/>
    </xf>
    <xf numFmtId="167" fontId="12" fillId="3" borderId="7" xfId="2" applyNumberFormat="1" applyFont="1" applyFill="1" applyBorder="1" applyAlignment="1">
      <alignment horizontal="right"/>
    </xf>
    <xf numFmtId="167" fontId="11" fillId="3" borderId="7" xfId="2" applyNumberFormat="1" applyFont="1" applyFill="1" applyBorder="1" applyAlignment="1">
      <alignment horizontal="right"/>
    </xf>
    <xf numFmtId="0" fontId="14" fillId="0" borderId="0" xfId="0" applyFont="1" applyAlignment="1">
      <alignment horizontal="left" indent="1"/>
    </xf>
    <xf numFmtId="167" fontId="11" fillId="3" borderId="8" xfId="2" applyNumberFormat="1" applyFont="1" applyFill="1" applyBorder="1" applyAlignment="1">
      <alignment horizontal="right"/>
    </xf>
    <xf numFmtId="0" fontId="14" fillId="0" borderId="0" xfId="3" applyNumberFormat="1" applyFont="1" applyFill="1" applyAlignment="1">
      <alignment horizontal="left" indent="1"/>
    </xf>
    <xf numFmtId="167" fontId="12" fillId="3" borderId="0" xfId="2" applyNumberFormat="1" applyFont="1" applyFill="1" applyBorder="1" applyAlignment="1">
      <alignment horizontal="right"/>
    </xf>
    <xf numFmtId="167" fontId="12" fillId="3" borderId="9" xfId="2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0" borderId="10" xfId="0" applyNumberFormat="1" applyFont="1" applyBorder="1" applyAlignment="1">
      <alignment vertical="center"/>
    </xf>
    <xf numFmtId="0" fontId="12" fillId="0" borderId="0" xfId="3" applyFont="1" applyFill="1" applyAlignment="1"/>
    <xf numFmtId="167" fontId="0" fillId="0" borderId="0" xfId="0" applyNumberFormat="1" applyBorder="1"/>
    <xf numFmtId="0" fontId="14" fillId="4" borderId="0" xfId="0" applyFont="1" applyFill="1"/>
    <xf numFmtId="167" fontId="11" fillId="3" borderId="0" xfId="1" applyNumberFormat="1" applyFont="1" applyFill="1"/>
    <xf numFmtId="166" fontId="13" fillId="3" borderId="0" xfId="1" applyNumberFormat="1" applyFont="1" applyFill="1"/>
    <xf numFmtId="166" fontId="7" fillId="3" borderId="0" xfId="1" applyNumberFormat="1" applyFont="1" applyFill="1" applyAlignment="1">
      <alignment horizontal="center"/>
    </xf>
    <xf numFmtId="166" fontId="8" fillId="3" borderId="0" xfId="1" applyNumberFormat="1" applyFont="1" applyFill="1" applyAlignment="1">
      <alignment horizontal="center"/>
    </xf>
    <xf numFmtId="0" fontId="15" fillId="0" borderId="0" xfId="0" applyFont="1" applyFill="1"/>
    <xf numFmtId="166" fontId="16" fillId="3" borderId="0" xfId="1" applyNumberFormat="1" applyFont="1" applyFill="1"/>
    <xf numFmtId="0" fontId="10" fillId="0" borderId="0" xfId="3" applyNumberFormat="1" applyFont="1" applyFill="1" applyAlignment="1">
      <alignment horizontal="left" indent="1"/>
    </xf>
    <xf numFmtId="167" fontId="12" fillId="3" borderId="5" xfId="2" applyNumberFormat="1" applyFont="1" applyFill="1" applyBorder="1" applyAlignment="1">
      <alignment horizontal="right"/>
    </xf>
    <xf numFmtId="0" fontId="14" fillId="0" borderId="0" xfId="5" applyFont="1" applyFill="1"/>
    <xf numFmtId="0" fontId="12" fillId="0" borderId="0" xfId="5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/>
    </xf>
    <xf numFmtId="0" fontId="12" fillId="0" borderId="0" xfId="5" quotePrefix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/>
    <xf numFmtId="37" fontId="14" fillId="0" borderId="0" xfId="6" applyNumberFormat="1" applyFont="1" applyFill="1"/>
    <xf numFmtId="167" fontId="14" fillId="0" borderId="0" xfId="6" applyNumberFormat="1" applyFont="1" applyFill="1"/>
    <xf numFmtId="0" fontId="12" fillId="0" borderId="0" xfId="5" applyFont="1" applyFill="1" applyAlignment="1">
      <alignment vertical="center"/>
    </xf>
    <xf numFmtId="0" fontId="14" fillId="0" borderId="0" xfId="5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37" fontId="12" fillId="0" borderId="0" xfId="6" applyNumberFormat="1" applyFont="1" applyFill="1" applyBorder="1" applyAlignment="1">
      <alignment vertical="center"/>
    </xf>
    <xf numFmtId="167" fontId="14" fillId="0" borderId="0" xfId="6" applyNumberFormat="1" applyFont="1" applyFill="1" applyBorder="1" applyAlignment="1">
      <alignment vertical="center"/>
    </xf>
    <xf numFmtId="37" fontId="14" fillId="0" borderId="0" xfId="6" applyNumberFormat="1" applyFont="1" applyFill="1" applyBorder="1" applyAlignment="1">
      <alignment vertical="center"/>
    </xf>
    <xf numFmtId="37" fontId="14" fillId="0" borderId="0" xfId="6" applyNumberFormat="1" applyFont="1" applyFill="1" applyBorder="1" applyAlignment="1"/>
    <xf numFmtId="37" fontId="12" fillId="0" borderId="10" xfId="6" applyNumberFormat="1" applyFont="1" applyFill="1" applyBorder="1" applyAlignment="1">
      <alignment vertical="center"/>
    </xf>
    <xf numFmtId="0" fontId="14" fillId="0" borderId="0" xfId="5" applyFont="1" applyFill="1" applyBorder="1"/>
    <xf numFmtId="169" fontId="14" fillId="0" borderId="0" xfId="6" applyFont="1" applyFill="1" applyBorder="1" applyAlignment="1"/>
    <xf numFmtId="0" fontId="17" fillId="0" borderId="0" xfId="5" applyFont="1" applyAlignment="1">
      <alignment horizontal="left"/>
    </xf>
    <xf numFmtId="0" fontId="14" fillId="0" borderId="0" xfId="5" applyFont="1" applyFill="1" applyAlignment="1"/>
    <xf numFmtId="0" fontId="17" fillId="0" borderId="0" xfId="5" applyFont="1" applyFill="1" applyAlignment="1">
      <alignment horizontal="right" indent="1"/>
    </xf>
    <xf numFmtId="166" fontId="7" fillId="2" borderId="0" xfId="1" applyNumberFormat="1" applyFont="1" applyFill="1" applyAlignment="1">
      <alignment horizontal="center"/>
    </xf>
    <xf numFmtId="0" fontId="14" fillId="0" borderId="0" xfId="0" applyFont="1" applyBorder="1" applyAlignment="1"/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7" fontId="11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7" fontId="13" fillId="0" borderId="0" xfId="0" applyNumberFormat="1" applyFont="1" applyBorder="1" applyAlignment="1">
      <alignment horizontal="left" vertical="center"/>
    </xf>
    <xf numFmtId="169" fontId="14" fillId="5" borderId="0" xfId="7" applyNumberFormat="1" applyFont="1" applyFill="1"/>
    <xf numFmtId="37" fontId="13" fillId="0" borderId="0" xfId="0" applyNumberFormat="1" applyFont="1" applyBorder="1" applyAlignment="1">
      <alignment vertical="center"/>
    </xf>
    <xf numFmtId="169" fontId="12" fillId="0" borderId="0" xfId="0" applyNumberFormat="1" applyFont="1" applyBorder="1" applyAlignment="1">
      <alignment horizontal="center" vertical="center" wrapText="1"/>
    </xf>
    <xf numFmtId="37" fontId="13" fillId="0" borderId="0" xfId="0" applyNumberFormat="1" applyFont="1"/>
    <xf numFmtId="37" fontId="12" fillId="0" borderId="0" xfId="7" applyNumberFormat="1" applyFont="1" applyBorder="1" applyAlignment="1">
      <alignment horizontal="center"/>
    </xf>
    <xf numFmtId="37" fontId="20" fillId="0" borderId="0" xfId="0" applyNumberFormat="1" applyFont="1"/>
    <xf numFmtId="37" fontId="13" fillId="5" borderId="0" xfId="0" applyNumberFormat="1" applyFont="1" applyFill="1" applyBorder="1" applyAlignment="1">
      <alignment vertical="center"/>
    </xf>
    <xf numFmtId="37" fontId="14" fillId="0" borderId="0" xfId="7" applyNumberFormat="1" applyFont="1" applyBorder="1" applyAlignment="1">
      <alignment horizontal="center"/>
    </xf>
    <xf numFmtId="37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0" fontId="14" fillId="0" borderId="18" xfId="0" applyFont="1" applyBorder="1"/>
    <xf numFmtId="0" fontId="12" fillId="0" borderId="0" xfId="8" applyFont="1" applyAlignment="1">
      <alignment horizontal="right"/>
    </xf>
    <xf numFmtId="0" fontId="14" fillId="0" borderId="0" xfId="9" applyFont="1" applyBorder="1"/>
    <xf numFmtId="0" fontId="14" fillId="0" borderId="0" xfId="9" applyFont="1" applyBorder="1" applyAlignment="1">
      <alignment horizontal="justify" vertical="justify"/>
    </xf>
    <xf numFmtId="0" fontId="14" fillId="0" borderId="0" xfId="9" applyFont="1" applyBorder="1" applyAlignment="1">
      <alignment vertical="justify"/>
    </xf>
    <xf numFmtId="0" fontId="14" fillId="0" borderId="0" xfId="9" applyFont="1" applyBorder="1" applyAlignment="1">
      <alignment horizontal="center"/>
    </xf>
    <xf numFmtId="167" fontId="14" fillId="0" borderId="0" xfId="9" applyNumberFormat="1" applyFont="1" applyBorder="1"/>
    <xf numFmtId="167" fontId="14" fillId="0" borderId="0" xfId="10" applyNumberFormat="1" applyFont="1" applyBorder="1"/>
    <xf numFmtId="0" fontId="3" fillId="6" borderId="0" xfId="0" applyFont="1" applyFill="1"/>
    <xf numFmtId="4" fontId="0" fillId="0" borderId="0" xfId="0" applyNumberFormat="1" applyFont="1"/>
    <xf numFmtId="0" fontId="17" fillId="0" borderId="0" xfId="3" applyFont="1" applyAlignment="1">
      <alignment horizontal="center"/>
    </xf>
    <xf numFmtId="3" fontId="22" fillId="0" borderId="0" xfId="11" applyFont="1" applyAlignment="1">
      <alignment horizontal="center"/>
    </xf>
    <xf numFmtId="0" fontId="6" fillId="0" borderId="0" xfId="12" applyBorder="1" applyAlignment="1"/>
    <xf numFmtId="0" fontId="6" fillId="0" borderId="0" xfId="12" applyAlignment="1"/>
    <xf numFmtId="0" fontId="12" fillId="0" borderId="0" xfId="12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37" fontId="12" fillId="0" borderId="0" xfId="0" applyNumberFormat="1" applyFont="1" applyAlignment="1"/>
    <xf numFmtId="0" fontId="23" fillId="0" borderId="0" xfId="0" applyFont="1" applyAlignment="1"/>
    <xf numFmtId="0" fontId="23" fillId="0" borderId="0" xfId="0" applyFont="1" applyAlignment="1">
      <alignment horizontal="left"/>
    </xf>
    <xf numFmtId="3" fontId="24" fillId="0" borderId="0" xfId="11" applyFont="1"/>
    <xf numFmtId="37" fontId="23" fillId="0" borderId="0" xfId="0" applyNumberFormat="1" applyFont="1" applyBorder="1" applyAlignment="1"/>
    <xf numFmtId="0" fontId="23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37" fontId="12" fillId="0" borderId="0" xfId="0" applyNumberFormat="1" applyFont="1" applyBorder="1" applyAlignment="1"/>
    <xf numFmtId="0" fontId="25" fillId="0" borderId="0" xfId="0" applyFont="1"/>
    <xf numFmtId="0" fontId="23" fillId="0" borderId="0" xfId="0" applyFont="1"/>
    <xf numFmtId="0" fontId="6" fillId="0" borderId="0" xfId="0" applyFont="1" applyBorder="1"/>
    <xf numFmtId="0" fontId="12" fillId="0" borderId="0" xfId="0" applyFont="1" applyFill="1" applyAlignment="1">
      <alignment horizontal="left" indent="1"/>
    </xf>
    <xf numFmtId="0" fontId="26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left" indent="1"/>
    </xf>
    <xf numFmtId="0" fontId="23" fillId="0" borderId="0" xfId="0" applyFont="1" applyAlignment="1">
      <alignment horizontal="center"/>
    </xf>
    <xf numFmtId="0" fontId="14" fillId="0" borderId="0" xfId="12" applyFont="1"/>
    <xf numFmtId="0" fontId="12" fillId="0" borderId="0" xfId="12" applyFont="1"/>
    <xf numFmtId="0" fontId="27" fillId="0" borderId="0" xfId="0" applyFont="1" applyFill="1"/>
    <xf numFmtId="3" fontId="28" fillId="0" borderId="0" xfId="11" applyFont="1"/>
    <xf numFmtId="0" fontId="29" fillId="0" borderId="0" xfId="3" applyFont="1" applyAlignment="1">
      <alignment horizontal="center"/>
    </xf>
    <xf numFmtId="0" fontId="30" fillId="0" borderId="0" xfId="12" applyFont="1" applyBorder="1" applyAlignment="1"/>
    <xf numFmtId="0" fontId="27" fillId="0" borderId="0" xfId="12" applyFont="1" applyAlignment="1">
      <alignment horizontal="center"/>
    </xf>
    <xf numFmtId="37" fontId="31" fillId="0" borderId="0" xfId="0" applyNumberFormat="1" applyFont="1" applyBorder="1" applyAlignment="1"/>
    <xf numFmtId="3" fontId="30" fillId="0" borderId="0" xfId="11" applyFont="1"/>
    <xf numFmtId="0" fontId="27" fillId="0" borderId="0" xfId="0" applyFont="1" applyAlignment="1">
      <alignment horizontal="center"/>
    </xf>
    <xf numFmtId="0" fontId="27" fillId="0" borderId="0" xfId="12" applyFont="1"/>
    <xf numFmtId="0" fontId="0" fillId="0" borderId="0" xfId="0" applyFont="1"/>
    <xf numFmtId="37" fontId="10" fillId="0" borderId="10" xfId="7" applyNumberFormat="1" applyFont="1" applyFill="1" applyBorder="1" applyAlignment="1">
      <alignment vertical="center"/>
    </xf>
    <xf numFmtId="40" fontId="5" fillId="0" borderId="5" xfId="0" applyNumberFormat="1" applyFont="1" applyFill="1" applyBorder="1"/>
    <xf numFmtId="40" fontId="5" fillId="0" borderId="0" xfId="0" applyNumberFormat="1" applyFont="1" applyFill="1"/>
    <xf numFmtId="40" fontId="0" fillId="0" borderId="0" xfId="0" applyNumberFormat="1" applyFont="1" applyFill="1"/>
    <xf numFmtId="40" fontId="32" fillId="0" borderId="0" xfId="0" applyNumberFormat="1" applyFont="1" applyFill="1"/>
    <xf numFmtId="38" fontId="5" fillId="0" borderId="2" xfId="0" applyNumberFormat="1" applyFont="1" applyBorder="1"/>
    <xf numFmtId="43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43" fontId="0" fillId="0" borderId="0" xfId="7" applyFont="1" applyAlignment="1">
      <alignment horizontal="center"/>
    </xf>
    <xf numFmtId="4" fontId="33" fillId="0" borderId="0" xfId="0" applyNumberFormat="1" applyFont="1"/>
    <xf numFmtId="0" fontId="12" fillId="0" borderId="0" xfId="5" quotePrefix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7" fillId="2" borderId="0" xfId="5" applyFont="1" applyFill="1" applyAlignment="1">
      <alignment horizontal="center"/>
    </xf>
    <xf numFmtId="3" fontId="18" fillId="2" borderId="0" xfId="5" applyNumberFormat="1" applyFont="1" applyFill="1" applyAlignment="1">
      <alignment horizontal="center"/>
    </xf>
    <xf numFmtId="0" fontId="18" fillId="2" borderId="0" xfId="5" applyFont="1" applyFill="1" applyAlignment="1">
      <alignment horizontal="center"/>
    </xf>
    <xf numFmtId="0" fontId="12" fillId="0" borderId="6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7" fontId="11" fillId="0" borderId="1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7" fontId="11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7" fontId="11" fillId="0" borderId="13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7" fontId="11" fillId="0" borderId="7" xfId="0" applyNumberFormat="1" applyFont="1" applyBorder="1" applyAlignment="1">
      <alignment horizontal="center" vertical="center" wrapText="1"/>
    </xf>
    <xf numFmtId="37" fontId="11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27" fillId="0" borderId="0" xfId="0" applyFont="1" applyFill="1"/>
    <xf numFmtId="3" fontId="17" fillId="0" borderId="0" xfId="11" applyFont="1" applyAlignment="1">
      <alignment horizontal="center"/>
    </xf>
    <xf numFmtId="3" fontId="10" fillId="7" borderId="0" xfId="11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6" fillId="0" borderId="0" xfId="12" applyBorder="1" applyAlignment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</cellXfs>
  <cellStyles count="13">
    <cellStyle name="=C:\WINNT\SYSTEM32\COMMAND.COM 2" xfId="3"/>
    <cellStyle name="Comma" xfId="7" builtinId="3"/>
    <cellStyle name="Comma 5" xfId="4"/>
    <cellStyle name="Comma_Chaudhry Draft 2007" xfId="6"/>
    <cellStyle name="Comma_Foods" xfId="2"/>
    <cellStyle name="Comma_VSSPL draft 2010" xfId="10"/>
    <cellStyle name="Normal" xfId="0" builtinId="0"/>
    <cellStyle name="Normal_Final 2007(12-11-07)" xfId="5"/>
    <cellStyle name="Normal_Foods" xfId="1"/>
    <cellStyle name="Normal_lhr comp Final 31-12-2009(19-03-2010)" xfId="12"/>
    <cellStyle name="Normal_March 2003" xfId="11"/>
    <cellStyle name="Normal_t Audited final accounts2104200904" xfId="9"/>
    <cellStyle name="Normal_VSSPL draft 2010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5"/>
  <sheetViews>
    <sheetView topLeftCell="A33" zoomScaleNormal="100" workbookViewId="0">
      <selection activeCell="A2" sqref="A2:F66"/>
    </sheetView>
  </sheetViews>
  <sheetFormatPr defaultRowHeight="15"/>
  <cols>
    <col min="1" max="1" width="34.7109375" bestFit="1" customWidth="1"/>
    <col min="4" max="4" width="16.140625" style="6" bestFit="1" customWidth="1"/>
    <col min="6" max="7" width="14.5703125" bestFit="1" customWidth="1"/>
    <col min="9" max="10" width="14.5703125" bestFit="1" customWidth="1"/>
  </cols>
  <sheetData>
    <row r="2" spans="1:13" ht="18.75">
      <c r="B2" s="16" t="s">
        <v>54</v>
      </c>
      <c r="C2" s="19"/>
      <c r="D2" s="29"/>
    </row>
    <row r="3" spans="1:13" ht="21">
      <c r="A3" s="14" t="s">
        <v>121</v>
      </c>
      <c r="B3" s="14"/>
      <c r="C3" s="14"/>
      <c r="D3" s="14"/>
      <c r="E3" s="14"/>
      <c r="F3" s="30"/>
      <c r="G3" s="30"/>
      <c r="H3" s="30"/>
    </row>
    <row r="4" spans="1:13" ht="21">
      <c r="D4" s="26">
        <v>42916</v>
      </c>
      <c r="E4" s="4"/>
      <c r="F4" s="27"/>
      <c r="G4" s="3"/>
      <c r="H4" s="3"/>
      <c r="I4" s="3"/>
      <c r="J4" s="3"/>
      <c r="K4" s="3"/>
      <c r="L4" s="3"/>
      <c r="M4" s="3"/>
    </row>
    <row r="5" spans="1:13" ht="21">
      <c r="D5" s="26" t="s">
        <v>59</v>
      </c>
      <c r="E5" s="4"/>
      <c r="F5" s="27"/>
      <c r="G5" s="3"/>
      <c r="H5" s="3"/>
      <c r="I5" s="3"/>
      <c r="J5" s="3"/>
      <c r="K5" s="3"/>
      <c r="L5" s="3"/>
      <c r="M5" s="3"/>
    </row>
    <row r="6" spans="1:13" ht="21">
      <c r="A6" s="10" t="s">
        <v>16</v>
      </c>
      <c r="D6" s="9"/>
      <c r="F6" s="5"/>
      <c r="G6" s="3"/>
      <c r="H6" s="3"/>
      <c r="I6" s="3"/>
      <c r="J6" s="3"/>
      <c r="K6" s="3"/>
      <c r="L6" s="3"/>
      <c r="M6" s="3"/>
    </row>
    <row r="7" spans="1:13" ht="15.75">
      <c r="A7" s="11" t="s">
        <v>0</v>
      </c>
    </row>
    <row r="8" spans="1:13">
      <c r="A8" t="s">
        <v>1</v>
      </c>
      <c r="D8" s="6">
        <v>5955088</v>
      </c>
    </row>
    <row r="9" spans="1:13">
      <c r="A9" t="s">
        <v>2</v>
      </c>
      <c r="D9" s="6">
        <v>4100000</v>
      </c>
      <c r="F9" s="6"/>
    </row>
    <row r="10" spans="1:13">
      <c r="A10" t="s">
        <v>3</v>
      </c>
      <c r="D10" s="6">
        <v>915001</v>
      </c>
      <c r="F10" s="6"/>
    </row>
    <row r="11" spans="1:13">
      <c r="A11" t="s">
        <v>7</v>
      </c>
      <c r="D11" s="6">
        <v>654670</v>
      </c>
    </row>
    <row r="12" spans="1:13">
      <c r="A12" t="s">
        <v>5</v>
      </c>
      <c r="D12" s="6">
        <v>1804246</v>
      </c>
      <c r="G12" s="6"/>
    </row>
    <row r="13" spans="1:13">
      <c r="A13" t="s">
        <v>4</v>
      </c>
      <c r="D13" s="6">
        <v>394978</v>
      </c>
    </row>
    <row r="14" spans="1:13">
      <c r="A14" t="s">
        <v>6</v>
      </c>
      <c r="D14" s="6">
        <v>650000</v>
      </c>
      <c r="G14" s="6"/>
    </row>
    <row r="15" spans="1:13">
      <c r="D15" s="8">
        <f>SUM(D8:D14)</f>
        <v>14473983</v>
      </c>
    </row>
    <row r="16" spans="1:13">
      <c r="D16" s="7"/>
    </row>
    <row r="17" spans="1:10" ht="15.75">
      <c r="A17" s="11" t="s">
        <v>8</v>
      </c>
      <c r="G17" s="6"/>
    </row>
    <row r="18" spans="1:10">
      <c r="A18" t="s">
        <v>10</v>
      </c>
      <c r="D18" s="6">
        <v>989304.95</v>
      </c>
    </row>
    <row r="19" spans="1:10">
      <c r="A19" t="s">
        <v>9</v>
      </c>
      <c r="D19" s="127">
        <v>2087744.99</v>
      </c>
      <c r="G19" s="6"/>
    </row>
    <row r="20" spans="1:10">
      <c r="A20" t="s">
        <v>11</v>
      </c>
      <c r="D20" s="6">
        <v>105322088</v>
      </c>
      <c r="F20" s="6"/>
    </row>
    <row r="21" spans="1:10">
      <c r="A21" t="s">
        <v>12</v>
      </c>
      <c r="D21" s="6">
        <v>43382498</v>
      </c>
    </row>
    <row r="22" spans="1:10">
      <c r="A22" t="s">
        <v>13</v>
      </c>
      <c r="D22" s="6">
        <v>36397761</v>
      </c>
      <c r="F22" s="6"/>
    </row>
    <row r="23" spans="1:10">
      <c r="A23" t="s">
        <v>14</v>
      </c>
      <c r="D23" s="6">
        <v>24959.3</v>
      </c>
      <c r="J23" s="6"/>
    </row>
    <row r="24" spans="1:10">
      <c r="D24" s="8">
        <f>SUM(D18:D23)</f>
        <v>188204356.24000001</v>
      </c>
      <c r="J24" t="s">
        <v>117</v>
      </c>
    </row>
    <row r="26" spans="1:10" ht="16.5" thickBot="1">
      <c r="A26" s="11" t="s">
        <v>55</v>
      </c>
      <c r="D26" s="15">
        <f>+D15+D24</f>
        <v>202678339.24000001</v>
      </c>
    </row>
    <row r="28" spans="1:10" ht="18.75">
      <c r="A28" s="10" t="s">
        <v>15</v>
      </c>
    </row>
    <row r="29" spans="1:10" ht="15.75">
      <c r="A29" s="11" t="s">
        <v>17</v>
      </c>
    </row>
    <row r="30" spans="1:10">
      <c r="A30" s="2" t="s">
        <v>27</v>
      </c>
    </row>
    <row r="31" spans="1:10" ht="30" customHeight="1" thickBot="1">
      <c r="A31" s="12" t="s">
        <v>26</v>
      </c>
      <c r="D31" s="13">
        <v>200000000</v>
      </c>
      <c r="F31" s="6"/>
    </row>
    <row r="32" spans="1:10">
      <c r="I32" s="6"/>
    </row>
    <row r="33" spans="1:9">
      <c r="A33" t="s">
        <v>28</v>
      </c>
    </row>
    <row r="34" spans="1:9" ht="30">
      <c r="A34" s="12" t="s">
        <v>29</v>
      </c>
      <c r="D34" s="6">
        <v>51000000</v>
      </c>
      <c r="G34" s="6"/>
    </row>
    <row r="35" spans="1:9">
      <c r="A35" t="s">
        <v>112</v>
      </c>
      <c r="D35" s="6">
        <v>2039044</v>
      </c>
    </row>
    <row r="36" spans="1:9">
      <c r="A36" t="s">
        <v>53</v>
      </c>
      <c r="D36" s="6">
        <f>SOCI!F57-40425</f>
        <v>-835908.6099999994</v>
      </c>
    </row>
    <row r="39" spans="1:9">
      <c r="D39" s="8">
        <f>SUM(D34:D38)</f>
        <v>52203135.390000001</v>
      </c>
    </row>
    <row r="40" spans="1:9">
      <c r="D40" s="31" t="s">
        <v>117</v>
      </c>
      <c r="G40" s="6"/>
    </row>
    <row r="42" spans="1:9" ht="15.75">
      <c r="A42" s="11" t="s">
        <v>20</v>
      </c>
    </row>
    <row r="43" spans="1:9" ht="15.75">
      <c r="A43" s="1" t="s">
        <v>114</v>
      </c>
      <c r="D43" s="6">
        <v>44500000</v>
      </c>
    </row>
    <row r="44" spans="1:9">
      <c r="A44" t="s">
        <v>18</v>
      </c>
      <c r="D44" s="6">
        <v>65000000</v>
      </c>
    </row>
    <row r="45" spans="1:9">
      <c r="A45" t="s">
        <v>19</v>
      </c>
      <c r="D45" s="6">
        <f>1210182+27000</f>
        <v>1237182</v>
      </c>
      <c r="I45" s="6"/>
    </row>
    <row r="46" spans="1:9">
      <c r="D46" s="8">
        <f>SUM(D43:D45)</f>
        <v>110737182</v>
      </c>
    </row>
    <row r="48" spans="1:9">
      <c r="G48" s="6" t="s">
        <v>117</v>
      </c>
    </row>
    <row r="49" spans="1:9" ht="15.75">
      <c r="A49" s="11" t="s">
        <v>21</v>
      </c>
      <c r="I49" s="6"/>
    </row>
    <row r="50" spans="1:9">
      <c r="A50" t="s">
        <v>82</v>
      </c>
      <c r="D50" s="6">
        <v>22183506</v>
      </c>
    </row>
    <row r="51" spans="1:9">
      <c r="A51" t="s">
        <v>22</v>
      </c>
      <c r="D51" s="6">
        <v>466762.94</v>
      </c>
      <c r="G51" s="6"/>
      <c r="I51" s="6"/>
    </row>
    <row r="52" spans="1:9">
      <c r="A52" t="s">
        <v>23</v>
      </c>
      <c r="D52" s="6">
        <v>272154</v>
      </c>
      <c r="F52" s="6"/>
    </row>
    <row r="53" spans="1:9">
      <c r="A53" t="s">
        <v>24</v>
      </c>
      <c r="D53" s="6">
        <v>983115.05</v>
      </c>
    </row>
    <row r="54" spans="1:9">
      <c r="A54" t="s">
        <v>119</v>
      </c>
      <c r="D54" s="6">
        <f>43331+18000</f>
        <v>61331</v>
      </c>
      <c r="G54" s="6"/>
    </row>
    <row r="55" spans="1:9">
      <c r="A55" t="s">
        <v>120</v>
      </c>
      <c r="D55" s="6">
        <v>242</v>
      </c>
      <c r="G55" s="6"/>
    </row>
    <row r="56" spans="1:9">
      <c r="D56" s="8">
        <f>SUM(D50:D55)</f>
        <v>23967110.990000002</v>
      </c>
      <c r="G56" s="6"/>
    </row>
    <row r="58" spans="1:9">
      <c r="A58" t="s">
        <v>56</v>
      </c>
      <c r="D58" s="6">
        <v>0</v>
      </c>
      <c r="G58" t="s">
        <v>117</v>
      </c>
    </row>
    <row r="59" spans="1:9" ht="16.5" thickBot="1">
      <c r="D59" s="15">
        <f>D56+D46+D39</f>
        <v>186907428.38</v>
      </c>
    </row>
    <row r="65" spans="1:4" ht="16.5">
      <c r="A65" s="96" t="s">
        <v>90</v>
      </c>
      <c r="D65" s="98" t="s">
        <v>91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9"/>
  <sheetViews>
    <sheetView tabSelected="1" workbookViewId="0">
      <selection activeCell="J24" sqref="J24"/>
    </sheetView>
  </sheetViews>
  <sheetFormatPr defaultRowHeight="15"/>
  <cols>
    <col min="1" max="1" width="27" customWidth="1"/>
    <col min="2" max="2" width="32.28515625" bestFit="1" customWidth="1"/>
    <col min="5" max="5" width="12.42578125" bestFit="1" customWidth="1"/>
    <col min="6" max="6" width="15" style="6" bestFit="1" customWidth="1"/>
    <col min="8" max="8" width="12.42578125" bestFit="1" customWidth="1"/>
  </cols>
  <sheetData>
    <row r="3" spans="1:15" ht="18.75">
      <c r="B3" s="16" t="s">
        <v>54</v>
      </c>
      <c r="C3" s="19"/>
      <c r="D3" s="21"/>
      <c r="F3" s="28"/>
    </row>
    <row r="4" spans="1:15" ht="18.75">
      <c r="A4" s="18" t="s">
        <v>30</v>
      </c>
      <c r="B4" s="18"/>
      <c r="C4" s="18"/>
      <c r="D4" s="23"/>
      <c r="E4" s="18"/>
      <c r="F4" s="18"/>
      <c r="G4" s="20"/>
      <c r="H4" s="20"/>
      <c r="K4" s="20"/>
      <c r="L4" s="20"/>
      <c r="M4" s="20"/>
      <c r="N4" s="20"/>
      <c r="O4" s="20"/>
    </row>
    <row r="5" spans="1:15" ht="18.75">
      <c r="A5" s="16" t="s">
        <v>122</v>
      </c>
      <c r="B5" s="16"/>
      <c r="C5" s="16"/>
      <c r="D5" s="24"/>
      <c r="E5" s="17"/>
      <c r="F5" s="19"/>
      <c r="G5" s="22"/>
      <c r="H5" s="22"/>
      <c r="K5" s="22"/>
      <c r="L5" s="22"/>
      <c r="M5" s="22"/>
      <c r="N5" s="22"/>
      <c r="O5" s="22"/>
    </row>
    <row r="6" spans="1:15" ht="15.75">
      <c r="F6" s="26">
        <v>42916</v>
      </c>
    </row>
    <row r="7" spans="1:15" ht="15.75">
      <c r="F7" s="26" t="s">
        <v>59</v>
      </c>
    </row>
    <row r="8" spans="1:15" ht="18.75">
      <c r="A8" s="10" t="s">
        <v>31</v>
      </c>
    </row>
    <row r="9" spans="1:15">
      <c r="B9" t="s">
        <v>32</v>
      </c>
      <c r="F9" s="6">
        <v>13660522.34</v>
      </c>
    </row>
    <row r="10" spans="1:15">
      <c r="B10" t="s">
        <v>34</v>
      </c>
      <c r="F10" s="6">
        <v>3875780.64</v>
      </c>
    </row>
    <row r="12" spans="1:15" ht="15.75">
      <c r="F12" s="169">
        <f>SUM(F9:F11)</f>
        <v>17536302.98</v>
      </c>
    </row>
    <row r="13" spans="1:15" ht="18.75">
      <c r="A13" s="10" t="s">
        <v>33</v>
      </c>
    </row>
    <row r="14" spans="1:15" ht="15.75">
      <c r="A14" s="1" t="s">
        <v>35</v>
      </c>
    </row>
    <row r="15" spans="1:15" ht="15.75">
      <c r="A15" s="11"/>
      <c r="B15" t="s">
        <v>49</v>
      </c>
      <c r="F15" s="6">
        <v>5220833</v>
      </c>
    </row>
    <row r="16" spans="1:15" ht="15.75">
      <c r="A16" s="11"/>
      <c r="B16" t="s">
        <v>95</v>
      </c>
      <c r="F16" s="6">
        <v>218823</v>
      </c>
    </row>
    <row r="17" spans="1:6" ht="15.75">
      <c r="A17" s="11"/>
      <c r="B17" t="s">
        <v>50</v>
      </c>
      <c r="F17" s="6">
        <f>4177594+141498</f>
        <v>4319092</v>
      </c>
    </row>
    <row r="18" spans="1:6">
      <c r="B18" t="s">
        <v>36</v>
      </c>
      <c r="F18" s="6">
        <v>5000</v>
      </c>
    </row>
    <row r="19" spans="1:6">
      <c r="B19" t="s">
        <v>37</v>
      </c>
      <c r="F19" s="6">
        <v>135834</v>
      </c>
    </row>
    <row r="20" spans="1:6">
      <c r="B20" t="s">
        <v>38</v>
      </c>
      <c r="F20" s="6">
        <v>43402</v>
      </c>
    </row>
    <row r="21" spans="1:6">
      <c r="B21" t="s">
        <v>111</v>
      </c>
      <c r="F21" s="6">
        <f>97148+13357</f>
        <v>110505</v>
      </c>
    </row>
    <row r="22" spans="1:6">
      <c r="B22" t="s">
        <v>116</v>
      </c>
      <c r="F22" s="6">
        <v>103187</v>
      </c>
    </row>
    <row r="23" spans="1:6">
      <c r="B23" t="s">
        <v>113</v>
      </c>
      <c r="F23" s="6">
        <v>9000</v>
      </c>
    </row>
    <row r="24" spans="1:6">
      <c r="B24" t="s">
        <v>126</v>
      </c>
      <c r="F24" s="6">
        <v>177000</v>
      </c>
    </row>
    <row r="25" spans="1:6">
      <c r="B25" t="s">
        <v>41</v>
      </c>
      <c r="F25" s="6">
        <v>141792</v>
      </c>
    </row>
    <row r="26" spans="1:6">
      <c r="B26" t="s">
        <v>39</v>
      </c>
      <c r="F26" s="6">
        <f>200233+24564</f>
        <v>224797</v>
      </c>
    </row>
    <row r="27" spans="1:6">
      <c r="B27" t="s">
        <v>115</v>
      </c>
      <c r="F27" s="6">
        <v>55650</v>
      </c>
    </row>
    <row r="28" spans="1:6">
      <c r="B28" t="s">
        <v>40</v>
      </c>
      <c r="F28" s="6">
        <f>100019</f>
        <v>100019</v>
      </c>
    </row>
    <row r="29" spans="1:6">
      <c r="B29" t="s">
        <v>123</v>
      </c>
      <c r="F29" s="6">
        <v>34600</v>
      </c>
    </row>
    <row r="30" spans="1:6">
      <c r="B30" t="s">
        <v>124</v>
      </c>
      <c r="F30" s="6">
        <v>14020</v>
      </c>
    </row>
    <row r="31" spans="1:6">
      <c r="B31" t="s">
        <v>125</v>
      </c>
      <c r="F31" s="6">
        <v>32440</v>
      </c>
    </row>
    <row r="32" spans="1:6">
      <c r="F32" s="8">
        <f>SUM(F15:F31)</f>
        <v>10945994</v>
      </c>
    </row>
    <row r="33" spans="1:8" ht="15.75">
      <c r="A33" s="1" t="s">
        <v>42</v>
      </c>
    </row>
    <row r="34" spans="1:8" ht="15.75">
      <c r="A34" s="1"/>
    </row>
    <row r="35" spans="1:8">
      <c r="B35" t="s">
        <v>43</v>
      </c>
      <c r="F35" s="6">
        <v>70556.289999999994</v>
      </c>
    </row>
    <row r="36" spans="1:8">
      <c r="B36" t="s">
        <v>44</v>
      </c>
      <c r="F36" s="6">
        <v>463845.2</v>
      </c>
    </row>
    <row r="37" spans="1:8">
      <c r="B37" t="s">
        <v>45</v>
      </c>
      <c r="F37" s="6">
        <v>1558686.16</v>
      </c>
    </row>
    <row r="38" spans="1:8">
      <c r="F38" s="8">
        <f>SUM(F34:F37)</f>
        <v>2093087.65</v>
      </c>
    </row>
    <row r="39" spans="1:8" ht="15.75">
      <c r="A39" s="1" t="s">
        <v>46</v>
      </c>
      <c r="H39" s="6"/>
    </row>
    <row r="40" spans="1:8" ht="15.75">
      <c r="A40" s="1"/>
      <c r="B40" t="s">
        <v>127</v>
      </c>
      <c r="F40" s="6">
        <v>1078821.8899999999</v>
      </c>
    </row>
    <row r="41" spans="1:8">
      <c r="B41" t="s">
        <v>142</v>
      </c>
      <c r="E41" s="6"/>
      <c r="F41" s="6">
        <v>4213883.05</v>
      </c>
    </row>
    <row r="42" spans="1:8">
      <c r="F42" s="8">
        <f>SUM(F40:F41)</f>
        <v>5292704.9399999995</v>
      </c>
    </row>
    <row r="45" spans="1:8">
      <c r="H45" s="6"/>
    </row>
    <row r="46" spans="1:8" ht="15.75">
      <c r="A46" s="2" t="s">
        <v>52</v>
      </c>
      <c r="F46" s="25">
        <f>F32+F38+F42</f>
        <v>18331786.59</v>
      </c>
    </row>
    <row r="49" spans="1:7" ht="15.75">
      <c r="A49" s="2" t="s">
        <v>47</v>
      </c>
      <c r="F49" s="166">
        <f>F12-F46</f>
        <v>-795483.6099999994</v>
      </c>
    </row>
    <row r="50" spans="1:7" ht="15.75" thickBot="1">
      <c r="A50" t="s">
        <v>48</v>
      </c>
      <c r="F50" s="167"/>
    </row>
    <row r="51" spans="1:7" ht="16.5" thickBot="1">
      <c r="A51" s="2" t="s">
        <v>51</v>
      </c>
      <c r="F51" s="165">
        <f>F49-F50</f>
        <v>-795483.6099999994</v>
      </c>
    </row>
    <row r="52" spans="1:7">
      <c r="F52" s="168"/>
    </row>
    <row r="53" spans="1:7">
      <c r="A53" s="163"/>
      <c r="B53" s="163"/>
      <c r="C53" s="163"/>
      <c r="D53" s="163"/>
      <c r="E53" s="163"/>
      <c r="F53" s="167"/>
      <c r="G53" s="163"/>
    </row>
    <row r="54" spans="1:7">
      <c r="A54" s="163" t="s">
        <v>109</v>
      </c>
      <c r="B54" s="163"/>
      <c r="C54" s="163"/>
      <c r="D54" s="163"/>
      <c r="E54" s="163"/>
      <c r="F54" s="167">
        <v>0</v>
      </c>
      <c r="G54" s="163"/>
    </row>
    <row r="55" spans="1:7">
      <c r="A55" s="163"/>
      <c r="B55" s="163"/>
      <c r="C55" s="163"/>
      <c r="D55" s="163"/>
      <c r="E55" s="163"/>
      <c r="F55" s="167"/>
      <c r="G55" s="163"/>
    </row>
    <row r="56" spans="1:7">
      <c r="A56" s="163"/>
      <c r="B56" s="163"/>
      <c r="C56" s="163"/>
      <c r="D56" s="163"/>
      <c r="E56" s="163"/>
      <c r="F56" s="167"/>
      <c r="G56" s="163"/>
    </row>
    <row r="57" spans="1:7" ht="15.75">
      <c r="A57" s="2" t="s">
        <v>110</v>
      </c>
      <c r="B57" s="163"/>
      <c r="C57" s="163"/>
      <c r="D57" s="163"/>
      <c r="E57" s="163"/>
      <c r="F57" s="166">
        <f>F51+F54</f>
        <v>-795483.6099999994</v>
      </c>
      <c r="G57" s="163"/>
    </row>
    <row r="58" spans="1:7">
      <c r="A58" s="163"/>
      <c r="B58" s="163"/>
      <c r="C58" s="163"/>
      <c r="D58" s="163"/>
      <c r="E58" s="163"/>
      <c r="F58" s="167"/>
      <c r="G58" s="163"/>
    </row>
    <row r="59" spans="1:7">
      <c r="A59" s="163"/>
      <c r="B59" s="163"/>
      <c r="C59" s="163"/>
      <c r="D59" s="163"/>
      <c r="E59" s="163"/>
      <c r="F59" s="167"/>
      <c r="G59" s="163"/>
    </row>
  </sheetData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D13"/>
  <sheetViews>
    <sheetView workbookViewId="0">
      <selection activeCell="E13" sqref="E13"/>
    </sheetView>
  </sheetViews>
  <sheetFormatPr defaultRowHeight="15"/>
  <cols>
    <col min="3" max="3" width="47.42578125" bestFit="1" customWidth="1"/>
    <col min="4" max="4" width="14.7109375" style="171" bestFit="1" customWidth="1"/>
  </cols>
  <sheetData>
    <row r="3" spans="3:4">
      <c r="C3" s="2" t="s">
        <v>130</v>
      </c>
    </row>
    <row r="4" spans="3:4">
      <c r="D4" s="173" t="s">
        <v>131</v>
      </c>
    </row>
    <row r="5" spans="3:4">
      <c r="C5" t="s">
        <v>132</v>
      </c>
      <c r="D5" s="174" t="s">
        <v>141</v>
      </c>
    </row>
    <row r="6" spans="3:4">
      <c r="C6" t="s">
        <v>133</v>
      </c>
      <c r="D6" s="175">
        <f>910989460-4626000</f>
        <v>906363460</v>
      </c>
    </row>
    <row r="7" spans="3:4">
      <c r="C7" t="s">
        <v>134</v>
      </c>
      <c r="D7" s="171" t="s">
        <v>135</v>
      </c>
    </row>
    <row r="9" spans="3:4">
      <c r="D9" s="173" t="s">
        <v>136</v>
      </c>
    </row>
    <row r="10" spans="3:4">
      <c r="C10" t="s">
        <v>137</v>
      </c>
      <c r="D10" s="172">
        <v>25978521.390000001</v>
      </c>
    </row>
    <row r="11" spans="3:4">
      <c r="C11" t="s">
        <v>138</v>
      </c>
      <c r="D11" s="177">
        <v>333654603.51999998</v>
      </c>
    </row>
    <row r="12" spans="3:4">
      <c r="C12" t="s">
        <v>139</v>
      </c>
      <c r="D12" s="176">
        <v>147696</v>
      </c>
    </row>
    <row r="13" spans="3:4">
      <c r="C13" t="s">
        <v>140</v>
      </c>
      <c r="D13" s="171" t="s">
        <v>135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M56"/>
  <sheetViews>
    <sheetView topLeftCell="A22" workbookViewId="0">
      <selection activeCell="J16" sqref="J16"/>
    </sheetView>
  </sheetViews>
  <sheetFormatPr defaultRowHeight="15"/>
  <cols>
    <col min="10" max="10" width="14.7109375" bestFit="1" customWidth="1"/>
    <col min="13" max="13" width="13.28515625" bestFit="1" customWidth="1"/>
  </cols>
  <sheetData>
    <row r="1" spans="3:10" ht="16.5">
      <c r="C1" s="71"/>
      <c r="D1" s="71"/>
      <c r="E1" s="71"/>
      <c r="F1" s="71"/>
      <c r="G1" s="71"/>
      <c r="H1" s="71"/>
      <c r="I1" s="71"/>
      <c r="J1" s="71"/>
    </row>
    <row r="2" spans="3:10" ht="16.5">
      <c r="E2" s="99"/>
      <c r="F2" s="19"/>
      <c r="G2" s="99" t="s">
        <v>57</v>
      </c>
      <c r="H2" s="99"/>
      <c r="I2" s="99"/>
      <c r="J2" s="71"/>
    </row>
    <row r="3" spans="3:10" ht="16.5">
      <c r="C3" s="72"/>
      <c r="D3" s="72"/>
      <c r="E3" s="72"/>
      <c r="F3" s="72"/>
      <c r="G3" s="72"/>
      <c r="H3" s="72"/>
      <c r="I3" s="72"/>
      <c r="J3" s="72"/>
    </row>
    <row r="4" spans="3:10">
      <c r="C4" s="32"/>
      <c r="D4" s="32"/>
      <c r="E4" s="32"/>
      <c r="F4" s="32"/>
      <c r="G4" s="32"/>
      <c r="H4" s="32"/>
      <c r="I4" s="32"/>
      <c r="J4" s="33"/>
    </row>
    <row r="5" spans="3:10" ht="15.75">
      <c r="C5" s="34" t="s">
        <v>58</v>
      </c>
      <c r="D5" s="35"/>
      <c r="E5" s="35"/>
      <c r="F5" s="35"/>
      <c r="G5" s="36"/>
      <c r="H5" s="37"/>
      <c r="I5" s="37"/>
      <c r="J5" s="38" t="s">
        <v>59</v>
      </c>
    </row>
    <row r="6" spans="3:10">
      <c r="C6" s="35"/>
      <c r="D6" s="35"/>
      <c r="E6" s="35"/>
      <c r="F6" s="35"/>
      <c r="G6" s="36"/>
      <c r="H6" s="37"/>
      <c r="I6" s="37"/>
      <c r="J6" s="38"/>
    </row>
    <row r="7" spans="3:10">
      <c r="C7" s="39" t="s">
        <v>78</v>
      </c>
      <c r="D7" s="35"/>
      <c r="E7" s="35"/>
      <c r="F7" s="35"/>
      <c r="G7" s="36"/>
      <c r="H7" s="37"/>
      <c r="I7" s="37"/>
      <c r="J7" s="40">
        <f>SOCI!F49</f>
        <v>-795483.6099999994</v>
      </c>
    </row>
    <row r="8" spans="3:10">
      <c r="C8" s="39"/>
      <c r="D8" s="35"/>
      <c r="E8" s="35"/>
      <c r="F8" s="35"/>
      <c r="G8" s="36"/>
      <c r="H8" s="37"/>
      <c r="I8" s="37"/>
      <c r="J8" s="40"/>
    </row>
    <row r="9" spans="3:10">
      <c r="C9" s="39" t="s">
        <v>60</v>
      </c>
      <c r="D9" s="35"/>
      <c r="E9" s="35"/>
      <c r="F9" s="35"/>
      <c r="G9" s="36"/>
      <c r="H9" s="37"/>
      <c r="I9" s="37"/>
      <c r="J9" s="40">
        <f>SOCI!F16</f>
        <v>218823</v>
      </c>
    </row>
    <row r="10" spans="3:10">
      <c r="C10" s="39"/>
      <c r="D10" s="35"/>
      <c r="E10" s="35"/>
      <c r="F10" s="35"/>
      <c r="G10" s="36"/>
      <c r="H10" s="37"/>
      <c r="I10" s="37"/>
      <c r="J10" s="40"/>
    </row>
    <row r="11" spans="3:10">
      <c r="C11" s="41" t="s">
        <v>61</v>
      </c>
      <c r="D11" s="35"/>
      <c r="E11" s="35"/>
      <c r="F11" s="35"/>
      <c r="G11" s="36"/>
      <c r="H11" s="37"/>
      <c r="I11" s="37"/>
      <c r="J11" s="42">
        <f>SUM(J7:J9)</f>
        <v>-576660.6099999994</v>
      </c>
    </row>
    <row r="12" spans="3:10">
      <c r="C12" s="39"/>
      <c r="D12" s="35"/>
      <c r="E12" s="35"/>
      <c r="F12" s="35"/>
      <c r="G12" s="36"/>
      <c r="H12" s="37"/>
      <c r="I12" s="37"/>
      <c r="J12" s="40"/>
    </row>
    <row r="13" spans="3:10">
      <c r="C13" s="41" t="s">
        <v>62</v>
      </c>
      <c r="D13" s="35"/>
      <c r="E13" s="35"/>
      <c r="F13" s="35"/>
      <c r="G13" s="36"/>
      <c r="H13" s="37"/>
      <c r="I13" s="37"/>
      <c r="J13" s="43"/>
    </row>
    <row r="14" spans="3:10">
      <c r="C14" s="44"/>
      <c r="D14" s="35"/>
      <c r="E14" s="35"/>
      <c r="F14" s="35"/>
      <c r="G14" s="36"/>
      <c r="H14" s="35"/>
      <c r="I14" s="35"/>
      <c r="J14" s="45"/>
    </row>
    <row r="15" spans="3:10" ht="15.75">
      <c r="C15" s="1" t="s">
        <v>83</v>
      </c>
      <c r="D15" s="1"/>
      <c r="E15" s="1"/>
      <c r="F15" s="35"/>
      <c r="G15" s="36"/>
      <c r="H15" s="35"/>
      <c r="I15" s="35"/>
      <c r="J15" s="45">
        <f>143219661-255992352</f>
        <v>-112772691</v>
      </c>
    </row>
    <row r="16" spans="3:10">
      <c r="C16" s="46"/>
      <c r="D16" s="35"/>
      <c r="E16" s="44"/>
      <c r="F16" s="35"/>
      <c r="G16" s="35"/>
      <c r="H16" s="35"/>
      <c r="I16" s="35"/>
      <c r="J16" s="47">
        <v>0</v>
      </c>
    </row>
    <row r="17" spans="3:10">
      <c r="C17" s="39"/>
      <c r="D17" s="35"/>
      <c r="E17" s="35"/>
      <c r="F17" s="35"/>
      <c r="G17" s="36"/>
      <c r="H17" s="35"/>
      <c r="I17" s="35"/>
      <c r="J17" s="47"/>
    </row>
    <row r="18" spans="3:10">
      <c r="C18" s="41" t="s">
        <v>64</v>
      </c>
      <c r="D18" s="35"/>
      <c r="E18" s="35"/>
      <c r="F18" s="35"/>
      <c r="G18" s="36"/>
      <c r="H18" s="35"/>
      <c r="I18" s="35"/>
      <c r="J18" s="48">
        <f>J11+J15+J16+J17</f>
        <v>-113349351.61</v>
      </c>
    </row>
    <row r="19" spans="3:10">
      <c r="C19" s="49"/>
      <c r="D19" s="35"/>
      <c r="E19" s="35"/>
      <c r="F19" s="35"/>
      <c r="G19" s="36"/>
      <c r="H19" s="35"/>
      <c r="I19" s="35"/>
      <c r="J19" s="50"/>
    </row>
    <row r="20" spans="3:10">
      <c r="C20" s="51" t="s">
        <v>65</v>
      </c>
      <c r="D20" s="35"/>
      <c r="E20" s="35"/>
      <c r="F20" s="35"/>
      <c r="G20" s="36"/>
      <c r="H20" s="35"/>
      <c r="I20" s="35"/>
      <c r="J20" s="50">
        <v>-13356</v>
      </c>
    </row>
    <row r="21" spans="3:10">
      <c r="C21" s="51"/>
      <c r="D21" s="35"/>
      <c r="E21" s="35"/>
      <c r="F21" s="35"/>
      <c r="G21" s="36"/>
      <c r="H21" s="35"/>
      <c r="I21" s="35"/>
      <c r="J21" s="50"/>
    </row>
    <row r="22" spans="3:10">
      <c r="C22" s="52" t="s">
        <v>66</v>
      </c>
      <c r="D22" s="35"/>
      <c r="E22" s="35"/>
      <c r="F22" s="35"/>
      <c r="G22" s="36"/>
      <c r="H22" s="35"/>
      <c r="I22" s="35"/>
      <c r="J22" s="53">
        <f>+J18+J20</f>
        <v>-113362707.61</v>
      </c>
    </row>
    <row r="23" spans="3:10">
      <c r="C23" s="49"/>
      <c r="D23" s="35"/>
      <c r="E23" s="35"/>
      <c r="F23" s="35"/>
      <c r="G23" s="36"/>
      <c r="H23" s="35"/>
      <c r="I23" s="35"/>
      <c r="J23" s="50"/>
    </row>
    <row r="24" spans="3:10" ht="15.75">
      <c r="C24" s="54" t="s">
        <v>67</v>
      </c>
      <c r="D24" s="35"/>
      <c r="E24" s="35"/>
      <c r="F24" s="35"/>
      <c r="G24" s="36"/>
      <c r="H24" s="35"/>
      <c r="I24" s="35"/>
      <c r="J24" s="50"/>
    </row>
    <row r="25" spans="3:10" ht="15.75">
      <c r="C25" s="54"/>
      <c r="D25" s="35"/>
      <c r="E25" s="35"/>
      <c r="F25" s="35"/>
      <c r="G25" s="36"/>
      <c r="H25" s="35"/>
      <c r="I25" s="35"/>
      <c r="J25" s="55"/>
    </row>
    <row r="26" spans="3:10">
      <c r="C26" s="39" t="s">
        <v>68</v>
      </c>
      <c r="D26" s="35"/>
      <c r="E26" s="35"/>
      <c r="F26" s="35"/>
      <c r="G26" s="36"/>
      <c r="H26" s="35"/>
      <c r="I26" s="35"/>
      <c r="J26" s="56">
        <v>-385587</v>
      </c>
    </row>
    <row r="27" spans="3:10">
      <c r="C27" s="35"/>
      <c r="D27" s="35"/>
      <c r="E27" s="35"/>
      <c r="F27" s="35"/>
      <c r="G27" s="36"/>
      <c r="H27" s="35"/>
      <c r="I27" s="35"/>
      <c r="J27" s="57"/>
    </row>
    <row r="28" spans="3:10">
      <c r="C28" s="58" t="s">
        <v>69</v>
      </c>
      <c r="D28" s="35"/>
      <c r="E28" s="35"/>
      <c r="F28" s="35"/>
      <c r="G28" s="36"/>
      <c r="H28" s="35"/>
      <c r="I28" s="35"/>
      <c r="J28" s="57">
        <v>0</v>
      </c>
    </row>
    <row r="29" spans="3:10">
      <c r="C29" s="58"/>
      <c r="D29" s="35"/>
      <c r="E29" s="35"/>
      <c r="F29" s="35"/>
      <c r="G29" s="36"/>
      <c r="H29" s="35"/>
      <c r="I29" s="35"/>
      <c r="J29" s="57"/>
    </row>
    <row r="30" spans="3:10">
      <c r="C30" s="70" t="s">
        <v>79</v>
      </c>
      <c r="D30" s="35"/>
      <c r="E30" s="35"/>
      <c r="F30" s="35"/>
      <c r="G30" s="36"/>
      <c r="H30" s="35"/>
      <c r="I30" s="35"/>
      <c r="J30" s="57">
        <v>-40453</v>
      </c>
    </row>
    <row r="31" spans="3:10">
      <c r="D31" s="35"/>
      <c r="E31" s="35"/>
      <c r="F31" s="35"/>
      <c r="G31" s="36"/>
      <c r="H31" s="35"/>
      <c r="I31" s="35"/>
      <c r="J31" s="57"/>
    </row>
    <row r="32" spans="3:10">
      <c r="C32" s="58" t="s">
        <v>70</v>
      </c>
      <c r="D32" s="35"/>
      <c r="E32" s="35"/>
      <c r="F32" s="35"/>
      <c r="G32" s="36"/>
      <c r="H32" s="35"/>
      <c r="I32" s="35"/>
      <c r="J32" s="57">
        <v>0</v>
      </c>
    </row>
    <row r="33" spans="3:10">
      <c r="C33" s="35"/>
      <c r="D33" s="35"/>
      <c r="E33" s="35"/>
      <c r="F33" s="35"/>
      <c r="G33" s="36"/>
      <c r="H33" s="35"/>
      <c r="I33" s="35"/>
      <c r="J33" s="57"/>
    </row>
    <row r="34" spans="3:10">
      <c r="C34" s="51" t="s">
        <v>71</v>
      </c>
      <c r="D34" s="35"/>
      <c r="E34" s="35"/>
      <c r="F34" s="35"/>
      <c r="G34" s="36"/>
      <c r="H34" s="35"/>
      <c r="I34" s="35"/>
      <c r="J34" s="57">
        <f>-120000-39300000</f>
        <v>-39420000</v>
      </c>
    </row>
    <row r="35" spans="3:10">
      <c r="C35" s="35"/>
      <c r="D35" s="35"/>
      <c r="E35" s="35"/>
      <c r="F35" s="35"/>
      <c r="G35" s="36"/>
      <c r="H35" s="35"/>
      <c r="I35" s="35"/>
      <c r="J35" s="59"/>
    </row>
    <row r="36" spans="3:10">
      <c r="C36" s="35"/>
      <c r="D36" s="35"/>
      <c r="E36" s="35"/>
      <c r="F36" s="35"/>
      <c r="G36" s="36"/>
      <c r="H36" s="35"/>
      <c r="I36" s="35"/>
      <c r="J36" s="50"/>
    </row>
    <row r="37" spans="3:10" ht="15.75">
      <c r="C37" s="54" t="s">
        <v>72</v>
      </c>
      <c r="D37" s="35"/>
      <c r="E37" s="35"/>
      <c r="F37" s="35"/>
      <c r="G37" s="36"/>
      <c r="H37" s="35"/>
      <c r="I37" s="35"/>
      <c r="J37" s="50">
        <f>SUM(J26:J34)</f>
        <v>-39846040</v>
      </c>
    </row>
    <row r="38" spans="3:10" ht="15.75">
      <c r="C38" s="54"/>
      <c r="D38" s="35"/>
      <c r="E38" s="35"/>
      <c r="F38" s="35"/>
      <c r="G38" s="36"/>
      <c r="H38" s="35"/>
      <c r="I38" s="35"/>
      <c r="J38" s="50"/>
    </row>
    <row r="39" spans="3:10">
      <c r="D39" s="35"/>
      <c r="E39" s="35"/>
      <c r="F39" s="35"/>
      <c r="G39" s="36"/>
      <c r="H39" s="35"/>
      <c r="I39" s="35"/>
      <c r="J39" s="50"/>
    </row>
    <row r="40" spans="3:10" ht="15.75">
      <c r="C40" s="73" t="s">
        <v>80</v>
      </c>
      <c r="D40" s="74"/>
      <c r="E40" s="35"/>
      <c r="F40" s="35"/>
      <c r="G40" s="36"/>
      <c r="H40" s="35"/>
      <c r="I40" s="35"/>
      <c r="J40" s="50">
        <f>51000000+44500000+10000000+115950000</f>
        <v>221450000</v>
      </c>
    </row>
    <row r="41" spans="3:10" ht="15.75">
      <c r="C41" s="54"/>
      <c r="D41" s="35"/>
      <c r="E41" s="35"/>
      <c r="F41" s="35"/>
      <c r="G41" s="36"/>
      <c r="H41" s="35"/>
      <c r="I41" s="35"/>
      <c r="J41" s="50"/>
    </row>
    <row r="42" spans="3:10">
      <c r="C42" s="60" t="s">
        <v>74</v>
      </c>
      <c r="D42" s="35"/>
      <c r="E42" s="35"/>
      <c r="F42" s="35"/>
      <c r="G42" s="36"/>
      <c r="H42" s="35"/>
      <c r="I42" s="35"/>
      <c r="J42" s="61">
        <v>0</v>
      </c>
    </row>
    <row r="43" spans="3:10">
      <c r="C43" s="60"/>
      <c r="D43" s="35"/>
      <c r="E43" s="35"/>
      <c r="F43" s="35"/>
      <c r="G43" s="36"/>
      <c r="H43" s="35"/>
      <c r="I43" s="35"/>
      <c r="J43" s="61"/>
    </row>
    <row r="44" spans="3:10" ht="15.75">
      <c r="C44" s="54" t="s">
        <v>73</v>
      </c>
      <c r="D44" s="35"/>
      <c r="E44" s="35"/>
      <c r="F44" s="35"/>
      <c r="G44" s="36"/>
      <c r="H44" s="35"/>
      <c r="I44" s="35"/>
      <c r="J44" s="61">
        <f>J40+J42</f>
        <v>221450000</v>
      </c>
    </row>
    <row r="45" spans="3:10" ht="16.5" thickBot="1">
      <c r="C45" s="54"/>
      <c r="D45" s="35"/>
      <c r="E45" s="35"/>
      <c r="F45" s="35"/>
      <c r="G45" s="36"/>
      <c r="H45" s="35"/>
      <c r="I45" s="35"/>
      <c r="J45" s="61"/>
    </row>
    <row r="46" spans="3:10" ht="16.5" thickBot="1">
      <c r="C46" s="75" t="s">
        <v>81</v>
      </c>
      <c r="D46" s="35"/>
      <c r="E46" s="35"/>
      <c r="F46" s="35"/>
      <c r="G46" s="36"/>
      <c r="H46" s="35"/>
      <c r="I46" s="35"/>
      <c r="J46" s="76">
        <f>J22+J37+J44</f>
        <v>68241252.389999986</v>
      </c>
    </row>
    <row r="47" spans="3:10">
      <c r="C47" s="60"/>
      <c r="D47" s="35"/>
      <c r="E47" s="35"/>
      <c r="F47" s="35"/>
      <c r="G47" s="36"/>
      <c r="H47" s="35"/>
      <c r="I47" s="35"/>
      <c r="J47" s="62"/>
    </row>
    <row r="48" spans="3:10">
      <c r="C48" s="63"/>
      <c r="D48" s="35"/>
      <c r="E48" s="35"/>
      <c r="F48" s="35"/>
      <c r="G48" s="36"/>
      <c r="H48" s="35"/>
      <c r="I48" s="35"/>
      <c r="J48" s="64"/>
    </row>
    <row r="49" spans="3:13">
      <c r="C49" s="63" t="s">
        <v>75</v>
      </c>
      <c r="D49" s="35"/>
      <c r="E49" s="35"/>
      <c r="F49" s="35"/>
      <c r="G49" s="36"/>
      <c r="H49" s="35"/>
      <c r="I49" s="35"/>
      <c r="J49" s="64">
        <f>7348472</f>
        <v>7348472</v>
      </c>
      <c r="M49" s="170">
        <f>J50-79784678.75</f>
        <v>-4194954.3600000143</v>
      </c>
    </row>
    <row r="50" spans="3:13" ht="15.75" thickBot="1">
      <c r="C50" s="63" t="s">
        <v>76</v>
      </c>
      <c r="D50" s="35"/>
      <c r="E50" s="35"/>
      <c r="F50" s="35"/>
      <c r="G50" s="36"/>
      <c r="H50" s="35"/>
      <c r="I50" s="35"/>
      <c r="J50" s="65">
        <f>J46+J49</f>
        <v>75589724.389999986</v>
      </c>
    </row>
    <row r="51" spans="3:13" ht="15.75" thickTop="1">
      <c r="C51" s="66"/>
      <c r="D51" s="35"/>
      <c r="E51" s="35"/>
      <c r="F51" s="35"/>
      <c r="G51" s="36"/>
      <c r="H51" s="35"/>
      <c r="I51" s="35"/>
      <c r="J51" s="67"/>
    </row>
    <row r="52" spans="3:13">
      <c r="C52" s="68" t="s">
        <v>77</v>
      </c>
      <c r="D52" s="35"/>
      <c r="E52" s="35"/>
      <c r="F52" s="35"/>
      <c r="G52" s="35"/>
      <c r="H52" s="35"/>
      <c r="I52" s="35"/>
      <c r="J52" s="69"/>
    </row>
    <row r="53" spans="3:13">
      <c r="C53" s="70"/>
      <c r="D53" s="35"/>
      <c r="E53" s="35"/>
      <c r="F53" s="35"/>
      <c r="G53" s="35"/>
      <c r="H53" s="35"/>
      <c r="I53" s="35"/>
      <c r="J53" s="69"/>
    </row>
    <row r="56" spans="3:13" ht="16.5">
      <c r="C56" s="96" t="s">
        <v>90</v>
      </c>
      <c r="J56" s="98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J25"/>
  <sheetViews>
    <sheetView workbookViewId="0">
      <selection activeCell="G25" sqref="G25"/>
    </sheetView>
  </sheetViews>
  <sheetFormatPr defaultRowHeight="15"/>
  <cols>
    <col min="7" max="7" width="12" bestFit="1" customWidth="1"/>
    <col min="8" max="8" width="25.140625" bestFit="1" customWidth="1"/>
    <col min="9" max="9" width="12" bestFit="1" customWidth="1"/>
  </cols>
  <sheetData>
    <row r="2" spans="2:10" ht="16.5">
      <c r="B2" s="180" t="s">
        <v>54</v>
      </c>
      <c r="C2" s="180"/>
      <c r="D2" s="180"/>
      <c r="E2" s="180"/>
      <c r="F2" s="180"/>
      <c r="G2" s="180"/>
      <c r="H2" s="180"/>
      <c r="I2" s="180"/>
      <c r="J2" s="180"/>
    </row>
    <row r="3" spans="2:10" ht="16.5">
      <c r="B3" s="180" t="s">
        <v>84</v>
      </c>
      <c r="C3" s="180"/>
      <c r="D3" s="180"/>
      <c r="E3" s="180"/>
      <c r="F3" s="180"/>
      <c r="G3" s="180"/>
      <c r="H3" s="180"/>
      <c r="I3" s="180"/>
      <c r="J3" s="180"/>
    </row>
    <row r="4" spans="2:10" ht="16.5">
      <c r="B4" s="181" t="s">
        <v>85</v>
      </c>
      <c r="C4" s="182"/>
      <c r="D4" s="182"/>
      <c r="E4" s="182"/>
      <c r="F4" s="182"/>
      <c r="G4" s="182"/>
      <c r="H4" s="182"/>
      <c r="I4" s="182"/>
      <c r="J4" s="182"/>
    </row>
    <row r="6" spans="2:10">
      <c r="B6" s="77"/>
      <c r="C6" s="77"/>
      <c r="D6" s="77"/>
      <c r="E6" s="77"/>
      <c r="F6" s="77"/>
      <c r="G6" s="183" t="s">
        <v>25</v>
      </c>
      <c r="H6" s="183" t="s">
        <v>92</v>
      </c>
      <c r="I6" s="186" t="s">
        <v>86</v>
      </c>
    </row>
    <row r="7" spans="2:10">
      <c r="B7" s="77"/>
      <c r="C7" s="77"/>
      <c r="D7" s="77"/>
      <c r="E7" s="77"/>
      <c r="F7" s="77"/>
      <c r="G7" s="184"/>
      <c r="H7" s="184"/>
      <c r="I7" s="187"/>
    </row>
    <row r="8" spans="2:10">
      <c r="B8" s="77"/>
      <c r="C8" s="77"/>
      <c r="D8" s="78"/>
      <c r="E8" s="78"/>
      <c r="F8" s="78"/>
      <c r="G8" s="185"/>
      <c r="H8" s="185"/>
      <c r="I8" s="188"/>
    </row>
    <row r="9" spans="2:10">
      <c r="B9" s="77"/>
      <c r="C9" s="77"/>
      <c r="D9" s="78"/>
      <c r="E9" s="78"/>
      <c r="F9" s="78"/>
      <c r="G9" s="79"/>
      <c r="H9" s="79"/>
      <c r="I9" s="80"/>
    </row>
    <row r="10" spans="2:10">
      <c r="B10" s="77"/>
      <c r="C10" s="77"/>
      <c r="D10" s="78"/>
      <c r="E10" s="78"/>
      <c r="F10" s="78"/>
      <c r="G10" s="178" t="s">
        <v>87</v>
      </c>
      <c r="H10" s="179"/>
      <c r="I10" s="179"/>
    </row>
    <row r="11" spans="2:10">
      <c r="B11" s="77"/>
      <c r="C11" s="77"/>
      <c r="D11" s="78"/>
      <c r="E11" s="78"/>
      <c r="F11" s="78"/>
      <c r="G11" s="81"/>
      <c r="H11" s="82"/>
      <c r="I11" s="82"/>
    </row>
    <row r="12" spans="2:10">
      <c r="B12" s="83" t="s">
        <v>88</v>
      </c>
      <c r="C12" s="77"/>
      <c r="D12" s="78"/>
      <c r="E12" s="78"/>
      <c r="F12" s="78"/>
      <c r="G12" s="84">
        <f>SOFP!D34</f>
        <v>51000000</v>
      </c>
      <c r="H12" s="85">
        <v>0</v>
      </c>
      <c r="I12" s="84">
        <f>G12</f>
        <v>51000000</v>
      </c>
    </row>
    <row r="13" spans="2:10">
      <c r="B13" s="86"/>
      <c r="C13" s="87"/>
      <c r="D13" s="88"/>
      <c r="E13" s="88"/>
      <c r="F13" s="88"/>
      <c r="G13" s="89"/>
      <c r="H13" s="89"/>
      <c r="I13" s="89"/>
    </row>
    <row r="14" spans="2:10">
      <c r="B14" s="77" t="s">
        <v>93</v>
      </c>
      <c r="C14" s="87"/>
      <c r="D14" s="88"/>
      <c r="E14" s="88"/>
      <c r="F14" s="88"/>
      <c r="G14" s="90">
        <v>0</v>
      </c>
      <c r="H14" s="91">
        <f>SOCI!F51</f>
        <v>-795483.6099999994</v>
      </c>
      <c r="I14" s="92">
        <f>SUM(G14:H14)</f>
        <v>-795483.6099999994</v>
      </c>
    </row>
    <row r="15" spans="2:10">
      <c r="B15" s="86"/>
      <c r="C15" s="87"/>
      <c r="D15" s="88"/>
      <c r="E15" s="88"/>
      <c r="F15" s="88"/>
      <c r="G15" s="89"/>
      <c r="H15" s="89"/>
      <c r="I15" s="89"/>
    </row>
    <row r="16" spans="2:10" ht="15.75" thickBot="1">
      <c r="B16" s="86" t="s">
        <v>89</v>
      </c>
      <c r="C16" s="87"/>
      <c r="D16" s="88"/>
      <c r="E16" s="88"/>
      <c r="F16" s="88"/>
      <c r="G16" s="93">
        <f>SUM(G12:G15)</f>
        <v>51000000</v>
      </c>
      <c r="H16" s="93">
        <f>SUM(H12:H15)</f>
        <v>-795483.6099999994</v>
      </c>
      <c r="I16" s="93">
        <f>SUM(I12:I15)</f>
        <v>50204516.390000001</v>
      </c>
    </row>
    <row r="17" spans="2:9" ht="15.75" thickTop="1">
      <c r="B17" s="86"/>
      <c r="C17" s="87"/>
      <c r="D17" s="88"/>
      <c r="E17" s="88"/>
      <c r="F17" s="88"/>
      <c r="G17" s="89"/>
      <c r="H17" s="89"/>
      <c r="I17" s="89"/>
    </row>
    <row r="18" spans="2:9">
      <c r="B18" s="77" t="s">
        <v>77</v>
      </c>
      <c r="C18" s="87"/>
      <c r="D18" s="88"/>
      <c r="E18" s="88"/>
      <c r="F18" s="88"/>
      <c r="G18" s="89"/>
      <c r="H18" s="89"/>
      <c r="I18" s="89"/>
    </row>
    <row r="19" spans="2:9">
      <c r="B19" s="86"/>
      <c r="C19" s="87"/>
      <c r="D19" s="88"/>
      <c r="E19" s="88"/>
      <c r="F19" s="88"/>
      <c r="G19" s="89"/>
      <c r="H19" s="89"/>
      <c r="I19" s="89"/>
    </row>
    <row r="20" spans="2:9">
      <c r="B20" s="77"/>
      <c r="C20" s="87"/>
      <c r="D20" s="88"/>
      <c r="E20" s="88"/>
      <c r="F20" s="88"/>
      <c r="G20" s="89"/>
      <c r="H20" s="89"/>
      <c r="I20" s="89"/>
    </row>
    <row r="21" spans="2:9">
      <c r="B21" s="77"/>
      <c r="C21" s="77"/>
      <c r="D21" s="94"/>
      <c r="E21" s="94"/>
      <c r="F21" s="94"/>
      <c r="G21" s="94"/>
      <c r="H21" s="95"/>
      <c r="I21" s="94"/>
    </row>
    <row r="22" spans="2:9">
      <c r="B22" s="77"/>
      <c r="C22" s="77"/>
      <c r="D22" s="94"/>
      <c r="E22" s="94"/>
      <c r="F22" s="94"/>
      <c r="G22" s="94"/>
      <c r="H22" s="95"/>
      <c r="I22" s="94"/>
    </row>
    <row r="23" spans="2:9" ht="16.5">
      <c r="B23" s="96" t="s">
        <v>90</v>
      </c>
      <c r="C23" s="83"/>
      <c r="D23" s="83"/>
      <c r="E23" s="83"/>
      <c r="F23" s="83"/>
      <c r="G23" s="77"/>
      <c r="H23" s="97"/>
      <c r="I23" s="98" t="s">
        <v>91</v>
      </c>
    </row>
    <row r="24" spans="2:9">
      <c r="B24" s="77"/>
      <c r="C24" s="77"/>
      <c r="D24" s="77"/>
      <c r="E24" s="77"/>
      <c r="F24" s="77"/>
      <c r="G24" s="94"/>
      <c r="H24" s="94"/>
      <c r="I24" s="94"/>
    </row>
    <row r="25" spans="2:9">
      <c r="B25" s="77"/>
      <c r="C25" s="77"/>
      <c r="D25" s="77"/>
      <c r="E25" s="77"/>
      <c r="F25" s="77"/>
      <c r="G25" s="77"/>
      <c r="H25" s="77"/>
      <c r="I25" s="77"/>
    </row>
  </sheetData>
  <mergeCells count="7">
    <mergeCell ref="G10:I10"/>
    <mergeCell ref="B2:J2"/>
    <mergeCell ref="B3:J3"/>
    <mergeCell ref="B4:J4"/>
    <mergeCell ref="G6:G8"/>
    <mergeCell ref="H6:H8"/>
    <mergeCell ref="I6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C3:K22"/>
  <sheetViews>
    <sheetView zoomScale="110" zoomScaleNormal="110" workbookViewId="0">
      <selection activeCell="G27" sqref="G27"/>
    </sheetView>
  </sheetViews>
  <sheetFormatPr defaultRowHeight="15"/>
  <cols>
    <col min="8" max="8" width="24.5703125" bestFit="1" customWidth="1"/>
    <col min="10" max="10" width="12.7109375" customWidth="1"/>
    <col min="11" max="11" width="11.85546875" customWidth="1"/>
  </cols>
  <sheetData>
    <row r="3" spans="3:11" ht="21">
      <c r="F3" s="126" t="s">
        <v>100</v>
      </c>
      <c r="G3" s="126"/>
      <c r="H3" s="126"/>
    </row>
    <row r="6" spans="3:11">
      <c r="C6" s="191" t="s">
        <v>94</v>
      </c>
      <c r="D6" s="192"/>
      <c r="E6" s="192"/>
      <c r="F6" s="192"/>
      <c r="G6" s="193"/>
      <c r="H6" s="200" t="s">
        <v>128</v>
      </c>
      <c r="I6" s="203" t="s">
        <v>95</v>
      </c>
      <c r="J6" s="204"/>
      <c r="K6" s="200" t="s">
        <v>129</v>
      </c>
    </row>
    <row r="7" spans="3:11">
      <c r="C7" s="194"/>
      <c r="D7" s="195"/>
      <c r="E7" s="195"/>
      <c r="F7" s="195"/>
      <c r="G7" s="196"/>
      <c r="H7" s="201"/>
      <c r="I7" s="200" t="s">
        <v>96</v>
      </c>
      <c r="J7" s="200" t="s">
        <v>118</v>
      </c>
      <c r="K7" s="205"/>
    </row>
    <row r="8" spans="3:11">
      <c r="C8" s="194"/>
      <c r="D8" s="195"/>
      <c r="E8" s="195"/>
      <c r="F8" s="195"/>
      <c r="G8" s="196"/>
      <c r="H8" s="201"/>
      <c r="I8" s="205"/>
      <c r="J8" s="207"/>
      <c r="K8" s="205"/>
    </row>
    <row r="9" spans="3:11">
      <c r="C9" s="194"/>
      <c r="D9" s="195"/>
      <c r="E9" s="195"/>
      <c r="F9" s="195"/>
      <c r="G9" s="196"/>
      <c r="H9" s="201"/>
      <c r="I9" s="205"/>
      <c r="J9" s="207"/>
      <c r="K9" s="205"/>
    </row>
    <row r="10" spans="3:11">
      <c r="C10" s="197"/>
      <c r="D10" s="198"/>
      <c r="E10" s="198"/>
      <c r="F10" s="198"/>
      <c r="G10" s="199"/>
      <c r="H10" s="202"/>
      <c r="I10" s="206"/>
      <c r="J10" s="208"/>
      <c r="K10" s="206"/>
    </row>
    <row r="11" spans="3:11">
      <c r="C11" s="100"/>
      <c r="D11" s="100"/>
      <c r="E11" s="100"/>
      <c r="F11" s="100"/>
      <c r="G11" s="100"/>
      <c r="H11" s="101" t="s">
        <v>59</v>
      </c>
      <c r="I11" s="102"/>
      <c r="J11" s="189" t="s">
        <v>97</v>
      </c>
      <c r="K11" s="190"/>
    </row>
    <row r="12" spans="3:11">
      <c r="C12" s="103"/>
      <c r="D12" s="103"/>
      <c r="E12" s="103"/>
      <c r="F12" s="103"/>
      <c r="G12" s="104"/>
      <c r="H12" s="104"/>
      <c r="I12" s="105"/>
      <c r="J12" s="101"/>
      <c r="K12" s="106"/>
    </row>
    <row r="13" spans="3:11">
      <c r="C13" s="103"/>
      <c r="D13" s="103"/>
      <c r="E13" s="103"/>
      <c r="F13" s="103"/>
      <c r="G13" s="104"/>
      <c r="H13" s="104"/>
      <c r="I13" s="105"/>
      <c r="J13" s="101"/>
      <c r="K13" s="106"/>
    </row>
    <row r="14" spans="3:11">
      <c r="C14" s="107" t="s">
        <v>98</v>
      </c>
      <c r="D14" s="103"/>
      <c r="E14" s="103"/>
      <c r="F14" s="103"/>
      <c r="G14" s="104"/>
      <c r="H14" s="108">
        <v>185825</v>
      </c>
      <c r="I14" s="105">
        <v>15</v>
      </c>
      <c r="J14" s="109">
        <f>ROUND(H14*I14%*9/12,0)</f>
        <v>20905</v>
      </c>
      <c r="K14" s="110">
        <f>H14-J14</f>
        <v>164920</v>
      </c>
    </row>
    <row r="15" spans="3:11">
      <c r="C15" s="107" t="s">
        <v>5</v>
      </c>
      <c r="D15" s="103"/>
      <c r="E15" s="103"/>
      <c r="F15" s="103"/>
      <c r="G15" s="104"/>
      <c r="H15" s="108">
        <v>18710</v>
      </c>
      <c r="I15" s="105">
        <v>15</v>
      </c>
      <c r="J15" s="109">
        <f t="shared" ref="J15:J17" si="0">ROUND(H15*I15%*9/12,0)</f>
        <v>2105</v>
      </c>
      <c r="K15" s="110">
        <f>H15-J15</f>
        <v>16605</v>
      </c>
    </row>
    <row r="16" spans="3:11">
      <c r="C16" s="107" t="s">
        <v>4</v>
      </c>
      <c r="D16" s="103"/>
      <c r="E16" s="103"/>
      <c r="F16" s="103"/>
      <c r="G16" s="104"/>
      <c r="H16" s="108">
        <v>60750</v>
      </c>
      <c r="I16" s="105">
        <v>30</v>
      </c>
      <c r="J16" s="109">
        <f t="shared" si="0"/>
        <v>13669</v>
      </c>
      <c r="K16" s="110">
        <f>H16-J16</f>
        <v>47081</v>
      </c>
    </row>
    <row r="17" spans="3:11">
      <c r="C17" s="111" t="s">
        <v>99</v>
      </c>
      <c r="D17" s="113"/>
      <c r="E17" s="113"/>
      <c r="F17" s="113"/>
      <c r="G17" s="104"/>
      <c r="H17" s="114">
        <v>1214295</v>
      </c>
      <c r="I17" s="115">
        <v>20</v>
      </c>
      <c r="J17" s="109">
        <f t="shared" si="0"/>
        <v>182144</v>
      </c>
      <c r="K17" s="109">
        <f>+H17-J17</f>
        <v>1032151</v>
      </c>
    </row>
    <row r="18" spans="3:11">
      <c r="C18" s="111"/>
      <c r="D18" s="113"/>
      <c r="E18" s="113"/>
      <c r="F18" s="113"/>
      <c r="G18" s="104"/>
      <c r="H18" s="116">
        <f>SUM(H14:H17)</f>
        <v>1479580</v>
      </c>
      <c r="I18" s="112"/>
      <c r="J18" s="117">
        <f>SUM(J14:J17)</f>
        <v>218823</v>
      </c>
      <c r="K18" s="117">
        <f>SUM(K14:K17)</f>
        <v>1260757</v>
      </c>
    </row>
    <row r="19" spans="3:11" ht="15.75" thickBot="1">
      <c r="C19" s="104"/>
      <c r="D19" s="104"/>
      <c r="E19" s="104"/>
      <c r="F19" s="104"/>
      <c r="G19" s="104"/>
      <c r="H19" s="118"/>
      <c r="I19" s="104"/>
      <c r="J19" s="118"/>
      <c r="K19" s="118"/>
    </row>
    <row r="20" spans="3:11" ht="15.75" thickTop="1">
      <c r="C20" s="119"/>
      <c r="D20" s="119"/>
      <c r="J20" s="120"/>
      <c r="K20" s="120"/>
    </row>
    <row r="21" spans="3:11">
      <c r="C21" s="121"/>
      <c r="D21" s="121"/>
      <c r="E21" s="122"/>
      <c r="F21" s="123"/>
      <c r="G21" s="124"/>
      <c r="H21" s="120"/>
      <c r="I21" s="120"/>
      <c r="J21" s="120"/>
      <c r="K21" s="120"/>
    </row>
    <row r="22" spans="3:11">
      <c r="C22" s="121"/>
      <c r="D22" s="121"/>
      <c r="E22" s="122"/>
      <c r="F22" s="120"/>
      <c r="G22" s="125"/>
      <c r="H22" s="125"/>
      <c r="I22" s="120"/>
      <c r="J22" s="120"/>
      <c r="K22" s="120"/>
    </row>
  </sheetData>
  <mergeCells count="7">
    <mergeCell ref="J11:K11"/>
    <mergeCell ref="C6:G10"/>
    <mergeCell ref="H6:H10"/>
    <mergeCell ref="I6:J6"/>
    <mergeCell ref="K6:K10"/>
    <mergeCell ref="I7:I10"/>
    <mergeCell ref="J7:J10"/>
  </mergeCells>
  <pageMargins left="0.7" right="0.7" top="0.75" bottom="0.7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7:K31"/>
  <sheetViews>
    <sheetView workbookViewId="0">
      <selection activeCell="I23" sqref="I23"/>
    </sheetView>
  </sheetViews>
  <sheetFormatPr defaultRowHeight="15"/>
  <cols>
    <col min="9" max="9" width="10.140625" style="163" bestFit="1" customWidth="1"/>
    <col min="11" max="11" width="13.28515625" bestFit="1" customWidth="1"/>
  </cols>
  <sheetData>
    <row r="7" spans="4:11" ht="16.5">
      <c r="D7" s="128"/>
      <c r="E7" s="128"/>
      <c r="F7" s="128"/>
      <c r="G7" s="128"/>
      <c r="H7" s="128"/>
      <c r="I7" s="156"/>
      <c r="J7" s="128"/>
      <c r="K7" s="128"/>
    </row>
    <row r="8" spans="4:11" ht="16.5">
      <c r="D8" s="211"/>
      <c r="E8" s="211"/>
      <c r="F8" s="211"/>
      <c r="G8" s="211"/>
      <c r="H8" s="211"/>
      <c r="I8" s="211"/>
      <c r="J8" s="211"/>
      <c r="K8" s="211"/>
    </row>
    <row r="9" spans="4:11">
      <c r="D9" s="212" t="s">
        <v>101</v>
      </c>
      <c r="E9" s="213"/>
      <c r="F9" s="213"/>
      <c r="G9" s="213"/>
      <c r="H9" s="213"/>
      <c r="I9" s="213"/>
      <c r="J9" s="213"/>
      <c r="K9" s="213"/>
    </row>
    <row r="10" spans="4:11">
      <c r="D10" s="213"/>
      <c r="E10" s="213"/>
      <c r="F10" s="213"/>
      <c r="G10" s="213"/>
      <c r="H10" s="213"/>
      <c r="I10" s="213"/>
      <c r="J10" s="213"/>
      <c r="K10" s="213"/>
    </row>
    <row r="11" spans="4:11">
      <c r="D11" s="129"/>
      <c r="E11" s="129"/>
      <c r="F11" s="129"/>
      <c r="G11" s="129"/>
      <c r="H11" s="130"/>
      <c r="I11" s="157"/>
      <c r="J11" s="214"/>
      <c r="K11" s="214"/>
    </row>
    <row r="12" spans="4:11">
      <c r="D12" s="129"/>
      <c r="E12" s="129"/>
      <c r="F12" s="129"/>
      <c r="G12" s="129"/>
      <c r="H12" s="130"/>
      <c r="I12" s="157"/>
      <c r="J12" s="130"/>
      <c r="K12" s="130"/>
    </row>
    <row r="13" spans="4:11">
      <c r="D13" s="129"/>
      <c r="E13" s="129"/>
      <c r="F13" s="129"/>
      <c r="G13" s="129"/>
      <c r="H13" s="131"/>
      <c r="I13" s="158" t="s">
        <v>59</v>
      </c>
      <c r="J13" s="132"/>
      <c r="K13" s="132" t="s">
        <v>59</v>
      </c>
    </row>
    <row r="14" spans="4:11" ht="15.75">
      <c r="D14" s="54" t="s">
        <v>102</v>
      </c>
      <c r="E14" s="133"/>
      <c r="F14" s="133"/>
      <c r="G14" s="133"/>
      <c r="H14" s="134"/>
      <c r="I14" s="155"/>
      <c r="J14" s="104"/>
      <c r="K14" s="135"/>
    </row>
    <row r="15" spans="4:11" ht="15.75">
      <c r="D15" s="54"/>
      <c r="E15" s="133"/>
      <c r="F15" s="133"/>
      <c r="G15" s="133"/>
      <c r="H15" s="134"/>
      <c r="I15" s="155"/>
      <c r="J15" s="104"/>
      <c r="K15" s="135"/>
    </row>
    <row r="16" spans="4:11">
      <c r="D16" s="41" t="s">
        <v>103</v>
      </c>
      <c r="E16" s="136"/>
      <c r="F16" s="136"/>
      <c r="G16" s="136"/>
      <c r="H16" s="137"/>
      <c r="I16" s="155">
        <f>SOFP!D22+SOFP!D23</f>
        <v>36422720.299999997</v>
      </c>
      <c r="J16" s="138"/>
      <c r="K16" s="139"/>
    </row>
    <row r="17" spans="4:11">
      <c r="D17" s="154" t="s">
        <v>107</v>
      </c>
      <c r="E17" s="136"/>
      <c r="F17" s="136"/>
      <c r="G17" s="136"/>
      <c r="H17" s="137"/>
      <c r="I17" s="155">
        <f>SOFP!D20</f>
        <v>105322088</v>
      </c>
      <c r="J17" s="138"/>
      <c r="K17" s="139"/>
    </row>
    <row r="18" spans="4:11">
      <c r="D18" s="210" t="s">
        <v>108</v>
      </c>
      <c r="E18" s="210"/>
      <c r="F18" s="136"/>
      <c r="G18" s="136"/>
      <c r="H18" s="137"/>
      <c r="I18" s="155">
        <f>SOFP!D18+SOFP!D19+SOFP!D21</f>
        <v>46459547.939999998</v>
      </c>
      <c r="J18" s="138"/>
      <c r="K18" s="139"/>
    </row>
    <row r="19" spans="4:11">
      <c r="D19" s="140"/>
      <c r="E19" s="136"/>
      <c r="F19" s="136"/>
      <c r="G19" s="136"/>
      <c r="H19" s="137"/>
      <c r="I19" s="155"/>
      <c r="J19" s="138"/>
      <c r="K19" s="139"/>
    </row>
    <row r="20" spans="4:11">
      <c r="D20" s="144"/>
      <c r="E20" s="144"/>
      <c r="F20" s="145"/>
      <c r="G20" s="145"/>
      <c r="H20" s="145"/>
      <c r="I20" s="160"/>
      <c r="J20" s="145"/>
      <c r="K20" s="143">
        <f>SUM(I15:I19)</f>
        <v>188204356.24000001</v>
      </c>
    </row>
    <row r="21" spans="4:11" ht="15.75">
      <c r="D21" s="54" t="s">
        <v>104</v>
      </c>
      <c r="E21" s="104"/>
      <c r="F21" s="141"/>
      <c r="G21" s="141"/>
      <c r="H21" s="141"/>
      <c r="I21" s="160"/>
      <c r="J21" s="142"/>
      <c r="K21" s="143"/>
    </row>
    <row r="22" spans="4:11">
      <c r="D22" s="216" t="s">
        <v>106</v>
      </c>
      <c r="E22" s="216"/>
      <c r="F22" s="216"/>
      <c r="G22" s="141"/>
      <c r="H22" s="141"/>
      <c r="I22" s="160">
        <f>SOFP!D50</f>
        <v>22183506</v>
      </c>
      <c r="J22" s="141"/>
      <c r="K22" s="146"/>
    </row>
    <row r="23" spans="4:11">
      <c r="D23" s="215" t="s">
        <v>63</v>
      </c>
      <c r="E23" s="215"/>
      <c r="F23" s="215"/>
      <c r="G23" s="141"/>
      <c r="H23" s="141"/>
      <c r="I23" s="159">
        <f>SUM(SOFP!D51:D53)</f>
        <v>1722031.99</v>
      </c>
      <c r="J23" s="141"/>
      <c r="K23" s="143"/>
    </row>
    <row r="24" spans="4:11">
      <c r="D24" s="147"/>
      <c r="E24" s="104"/>
      <c r="F24" s="141"/>
      <c r="G24" s="141"/>
      <c r="H24" s="141"/>
      <c r="I24" s="155"/>
      <c r="J24" s="141"/>
      <c r="K24" s="143">
        <f>SUM(I22:I23)</f>
        <v>23905537.989999998</v>
      </c>
    </row>
    <row r="25" spans="4:11">
      <c r="D25" s="147"/>
      <c r="E25" s="104"/>
      <c r="F25" s="141"/>
      <c r="G25" s="141"/>
      <c r="H25" s="141"/>
      <c r="I25" s="155"/>
      <c r="J25" s="141"/>
      <c r="K25" s="143"/>
    </row>
    <row r="26" spans="4:11" ht="16.5" thickBot="1">
      <c r="D26" s="209" t="s">
        <v>105</v>
      </c>
      <c r="E26" s="209"/>
      <c r="F26" s="209"/>
      <c r="G26" s="145"/>
      <c r="H26" s="145"/>
      <c r="I26" s="155"/>
      <c r="J26" s="145"/>
      <c r="K26" s="164">
        <f>+K20-K24</f>
        <v>164298818.25</v>
      </c>
    </row>
    <row r="27" spans="4:11" ht="15.75" thickTop="1">
      <c r="D27" s="136"/>
      <c r="E27" s="144"/>
      <c r="F27" s="145"/>
      <c r="G27" s="145"/>
      <c r="H27" s="145"/>
      <c r="I27" s="155"/>
      <c r="J27" s="145"/>
      <c r="K27" s="148"/>
    </row>
    <row r="28" spans="4:11">
      <c r="D28" s="136"/>
      <c r="E28" s="149"/>
      <c r="F28" s="150"/>
      <c r="G28" s="150"/>
      <c r="H28" s="150"/>
      <c r="I28" s="161"/>
      <c r="J28" s="151"/>
      <c r="K28" s="139"/>
    </row>
    <row r="29" spans="4:11">
      <c r="D29" s="152"/>
      <c r="E29" s="153"/>
      <c r="F29" s="153"/>
      <c r="G29" s="153"/>
      <c r="H29" s="153"/>
      <c r="I29" s="162"/>
      <c r="J29" s="153"/>
      <c r="K29" s="152"/>
    </row>
    <row r="30" spans="4:11">
      <c r="D30" s="153"/>
      <c r="E30" s="153"/>
      <c r="F30" s="153"/>
      <c r="G30" s="153"/>
      <c r="H30" s="153"/>
      <c r="I30" s="162"/>
      <c r="J30" s="153"/>
      <c r="K30" s="153"/>
    </row>
    <row r="31" spans="4:11">
      <c r="D31" s="153"/>
      <c r="E31" s="153"/>
      <c r="F31" s="153"/>
      <c r="G31" s="153"/>
      <c r="H31" s="153"/>
      <c r="I31" s="162"/>
      <c r="J31" s="153"/>
      <c r="K31" s="153"/>
    </row>
  </sheetData>
  <mergeCells count="7">
    <mergeCell ref="D26:F26"/>
    <mergeCell ref="D18:E18"/>
    <mergeCell ref="D8:K8"/>
    <mergeCell ref="D9:K10"/>
    <mergeCell ref="J11:K11"/>
    <mergeCell ref="D23:F23"/>
    <mergeCell ref="D22:F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SOFP</vt:lpstr>
      <vt:lpstr>SOCI</vt:lpstr>
      <vt:lpstr>Notes</vt:lpstr>
      <vt:lpstr>Cash Flow</vt:lpstr>
      <vt:lpstr>SOCIE</vt:lpstr>
      <vt:lpstr>FA Schedule.</vt:lpstr>
      <vt:lpstr>NCB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</dc:creator>
  <cp:lastModifiedBy>nasir</cp:lastModifiedBy>
  <cp:lastPrinted>2017-08-22T06:08:32Z</cp:lastPrinted>
  <dcterms:created xsi:type="dcterms:W3CDTF">2016-11-11T05:01:27Z</dcterms:created>
  <dcterms:modified xsi:type="dcterms:W3CDTF">2017-08-22T08:12:02Z</dcterms:modified>
</cp:coreProperties>
</file>